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LBj8en8Y7eod/Kq6NkGuUcDLiVViIhgStXAIG97GdFmSNAMurL7wjs2cvHP474UpAwMqp7fhclZJ+96U2xOg5g==" workbookSaltValue="CcQf5hYeULi5mQcZ84fa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R13" i="17"/>
  <c r="P13" i="14"/>
  <c r="R13" i="14" s="1"/>
  <c r="BG17" i="13"/>
  <c r="S13" i="14"/>
  <c r="V13" i="14" s="1"/>
  <c r="R11" i="14"/>
  <c r="T12" i="11"/>
  <c r="V13" i="16"/>
  <c r="R8" i="9"/>
  <c r="BH30" i="16" s="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T22" i="11" l="1"/>
  <c r="R22" i="14"/>
  <c r="S18" i="14"/>
  <c r="V18" i="14" s="1"/>
  <c r="K17" i="12"/>
  <c r="BF23" i="13"/>
  <c r="BH9" i="16"/>
  <c r="BL19" i="11"/>
  <c r="BJ18" i="11"/>
  <c r="BM17" i="11"/>
  <c r="BF21" i="11"/>
  <c r="BF17" i="11"/>
  <c r="BL12" i="11"/>
  <c r="BK2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AP17" i="20"/>
  <c r="BJ25" i="11"/>
  <c r="AZ16" i="11"/>
  <c r="AZ23" i="11" s="1"/>
  <c r="BU10" i="17"/>
  <c r="BU33" i="17" s="1"/>
  <c r="BU22" i="17"/>
  <c r="BU20" i="17"/>
  <c r="BW22" i="20"/>
  <c r="BV9" i="16"/>
  <c r="BG12" i="11"/>
  <c r="BL28" i="11"/>
  <c r="BH11" i="11"/>
  <c r="S18" i="17"/>
  <c r="BM9" i="11"/>
  <c r="BH12" i="16"/>
  <c r="BJ22" i="11"/>
  <c r="V11" i="16"/>
  <c r="BF10" i="11"/>
  <c r="V11" i="11"/>
  <c r="BM12" i="11"/>
  <c r="V9" i="11"/>
  <c r="BJ16" i="11"/>
  <c r="AP16" i="20"/>
  <c r="R25" i="14"/>
  <c r="V20" i="11"/>
  <c r="BL25" i="11"/>
  <c r="Q25" i="11" s="1"/>
  <c r="BG19" i="11"/>
  <c r="AZ9" i="11"/>
  <c r="BL29" i="11"/>
  <c r="P29" i="11" s="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M21" i="11"/>
  <c r="P21" i="11" s="1"/>
  <c r="AO25" i="17"/>
  <c r="BJ17" i="11"/>
  <c r="BL17" i="11"/>
  <c r="BH22" i="11"/>
  <c r="X12" i="17"/>
  <c r="X22" i="16"/>
  <c r="L12" i="2"/>
  <c r="X19" i="16"/>
  <c r="X10" i="21"/>
  <c r="L20" i="2"/>
  <c r="U9" i="17"/>
  <c r="U31" i="17" s="1"/>
  <c r="V10" i="16"/>
  <c r="V9" i="16"/>
  <c r="X13" i="16"/>
  <c r="BG10" i="11"/>
  <c r="V25" i="11"/>
  <c r="BI25" i="11"/>
  <c r="V13" i="11"/>
  <c r="BI19" i="11"/>
  <c r="AP22" i="20"/>
  <c r="BG16" i="11"/>
  <c r="BH13" i="11"/>
  <c r="BL13" i="11"/>
  <c r="P13" i="11" s="1"/>
  <c r="BH18" i="11"/>
  <c r="BM16" i="11"/>
  <c r="AO28" i="17"/>
  <c r="BU16" i="17"/>
  <c r="BW19" i="20"/>
  <c r="X20" i="16"/>
  <c r="BW25" i="20"/>
  <c r="U13" i="17"/>
  <c r="BW29" i="20"/>
  <c r="BV29" i="16"/>
  <c r="BW21" i="20"/>
  <c r="AZ17" i="11"/>
  <c r="BI20" i="11"/>
  <c r="BI9" i="11"/>
  <c r="BL10" i="11"/>
  <c r="BH10" i="16"/>
  <c r="BK22" i="11"/>
  <c r="L22" i="2"/>
  <c r="S16" i="17"/>
  <c r="S17" i="17"/>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S31" i="16"/>
  <c r="BJ23" i="11"/>
  <c r="AZ26" i="11"/>
  <c r="BV30" i="16"/>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<sst xmlns="http://schemas.openxmlformats.org/spreadsheetml/2006/main" count="2682" uniqueCount="1193">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</sst>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X7foSUfAeRN05l0poYMLca9eo5f6XiyM9F370+ukoRGESQszsVUGzOViRFvYD+6rJbvPqvBKGayaXnDUpU+Pw==" saltValue="dZhoy2wqnPg2/+jbFWTo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3</v>
      </c>
      <c r="F10" s="240">
        <f>IF(ISNUMBER(Datos!K10),Datos!K10," - ")</f>
        <v>3</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73.333333333333343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36.841269841269842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508</v>
      </c>
      <c r="D17" s="239">
        <f>IF(ISNUMBER(IF(D_I="SI",Datos!I17,Datos!I17+Datos!AC17)),IF(D_I="SI",Datos!I17,Datos!I17+Datos!AC17)," - ")</f>
        <v>506</v>
      </c>
      <c r="E17" s="240">
        <f>IF(ISNUMBER(IF(D_I="SI",Datos!J17,Datos!J17+Datos!AD17)),IF(D_I="SI",Datos!J17,Datos!J17+Datos!AD17)," - ")</f>
        <v>609</v>
      </c>
      <c r="F17" s="240">
        <f>IF(ISNUMBER(IF(D_I="SI",Datos!K17,Datos!K17+Datos!AE17)),IF(D_I="SI",Datos!K17,Datos!K17+Datos!AE17)," - ")</f>
        <v>599</v>
      </c>
      <c r="G17" s="1390" t="str">
        <f>IF(Datos!E17&lt;&gt;"",Datos!E17,Datos!D17)</f>
        <v>04</v>
      </c>
      <c r="H17" s="241">
        <f>IF(ISNUMBER(IF(D_I="SI",Datos!L17,Datos!L17+Datos!AF17)),IF(D_I="SI",Datos!L17,Datos!L17+Datos!AF17)," - ")</f>
        <v>518</v>
      </c>
      <c r="I17" s="1400" t="str">
        <f>IF(ISNUMBER(Datos!AS17/Datos!BM17),Datos!AS17/Datos!BM17," - ")</f>
        <v xml:space="preserve"> - </v>
      </c>
      <c r="J17" s="1401">
        <f>IF(ISNUMBER(Datos!BY17/Datos!CN17),Datos!BY17/Datos!CN17," - ")</f>
        <v>0</v>
      </c>
      <c r="K17" s="244">
        <f t="shared" si="3"/>
        <v>1.968503937007874E-2</v>
      </c>
      <c r="L17" s="1402">
        <f>IF(ISNUMBER(NºAsuntos!I17/NºAsuntos!G17),(NºAsuntos!I17/NºAsuntos!G17)*11," - ")</f>
        <v>9.5125208681135227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35</v>
      </c>
      <c r="F18" s="240">
        <f>IF(ISNUMBER(IF(D_I="SI",Datos!K18,Datos!K18+Datos!AE18)),IF(D_I="SI",Datos!K18,Datos!K18+Datos!AE18)," - ")</f>
        <v>35</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16.342857142857142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560</v>
      </c>
      <c r="D23" s="1407">
        <f>SUBTOTAL(9,D16:D22)</f>
        <v>558</v>
      </c>
      <c r="E23" s="1408">
        <f>SUBTOTAL(9,E16:E22)</f>
        <v>644</v>
      </c>
      <c r="F23" s="1408">
        <f>SUBTOTAL(9,F16:F22)</f>
        <v>634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580</v>
      </c>
      <c r="D31" s="1435">
        <f>SUBTOTAL(9,D9:D30)</f>
        <v>578</v>
      </c>
      <c r="E31" s="1436">
        <f>SUBTOTAL(9,E9:E30)</f>
        <v>647</v>
      </c>
      <c r="F31" s="1436">
        <f>SUBTOTAL(9,F9:F30)</f>
        <v>637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mjodOw+g9IB7Oq/9tcmY226NayKRtJoRocrn5zQDKRb9BIj9JpwXJrWzHyEwGNQfVt5LEzqg/u8TEPi2VQt0w==" saltValue="l/p9GDN2Ufzp/KpqN4qV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CH2HvWBL6FNKtii+qdAtFuq8o4mc6iQ3pFL4FNyaOHrZCi9E+B13ovSayEm4X/KTNY+g1MuA67We9R9Gb68YQ==" saltValue="8Wi84n7NZzb3Ju195N+m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3</v>
      </c>
      <c r="K10" s="194">
        <v>3</v>
      </c>
      <c r="L10" s="194">
        <v>20</v>
      </c>
      <c r="M10" s="194">
        <v>3</v>
      </c>
      <c r="N10" s="194">
        <v>0</v>
      </c>
      <c r="O10" s="194">
        <v>2</v>
      </c>
      <c r="P10" s="194">
        <v>0</v>
      </c>
      <c r="Q10" s="194">
        <v>2</v>
      </c>
      <c r="R10" s="194">
        <v>19</v>
      </c>
      <c r="S10" s="194">
        <v>27</v>
      </c>
      <c r="T10" s="194">
        <v>1</v>
      </c>
      <c r="U10" s="194">
        <v>0</v>
      </c>
      <c r="V10" s="194">
        <v>28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27</v>
      </c>
      <c r="AZ10" s="139">
        <f t="shared" si="0"/>
        <v>1</v>
      </c>
      <c r="BA10" s="139">
        <f t="shared" si="0"/>
        <v>0</v>
      </c>
      <c r="BB10" s="139">
        <f t="shared" si="0"/>
        <v>28</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1488</v>
      </c>
      <c r="J12" s="196">
        <v>526</v>
      </c>
      <c r="K12" s="196">
        <v>440</v>
      </c>
      <c r="L12" s="196">
        <v>1574</v>
      </c>
      <c r="M12" s="196">
        <v>153</v>
      </c>
      <c r="N12" s="196">
        <v>125</v>
      </c>
      <c r="O12" s="194">
        <v>198</v>
      </c>
      <c r="P12" s="196">
        <v>109</v>
      </c>
      <c r="Q12" s="196">
        <v>48</v>
      </c>
      <c r="R12" s="196">
        <v>2404</v>
      </c>
      <c r="S12" s="196">
        <v>1522</v>
      </c>
      <c r="T12" s="196">
        <v>348</v>
      </c>
      <c r="U12" s="196">
        <v>346</v>
      </c>
      <c r="V12" s="196">
        <v>1497</v>
      </c>
      <c r="W12" s="196">
        <v>137</v>
      </c>
      <c r="X12" s="202">
        <v>123</v>
      </c>
      <c r="Y12" s="204">
        <v>124</v>
      </c>
      <c r="Z12" s="194">
        <v>54</v>
      </c>
      <c r="AA12" s="194">
        <v>64</v>
      </c>
      <c r="AB12" s="194">
        <v>114</v>
      </c>
      <c r="AC12" s="196">
        <v>0</v>
      </c>
      <c r="AD12" s="196">
        <v>0</v>
      </c>
      <c r="AE12" s="196">
        <v>0</v>
      </c>
      <c r="AF12" s="202">
        <v>0</v>
      </c>
      <c r="AG12" s="215">
        <v>136</v>
      </c>
      <c r="AH12" s="196">
        <v>45</v>
      </c>
      <c r="AI12" s="196">
        <v>59</v>
      </c>
      <c r="AJ12" s="216">
        <v>122</v>
      </c>
      <c r="AK12" s="195">
        <v>0</v>
      </c>
      <c r="AL12" s="196">
        <v>0</v>
      </c>
      <c r="AM12" s="196">
        <v>0</v>
      </c>
      <c r="AN12" s="202">
        <v>0</v>
      </c>
      <c r="AO12" s="283">
        <v>3</v>
      </c>
      <c r="AP12" s="168">
        <v>3</v>
      </c>
      <c r="AQ12" s="168">
        <v>3</v>
      </c>
      <c r="AR12" s="167">
        <v>3</v>
      </c>
      <c r="AS12" s="381" t="s">
        <v>1075</v>
      </c>
      <c r="AT12" s="216"/>
      <c r="AU12" s="215"/>
      <c r="AV12" s="216"/>
      <c r="AW12" s="215"/>
      <c r="AX12" s="216"/>
      <c r="AY12" s="136">
        <f t="shared" si="1"/>
        <v>1658</v>
      </c>
      <c r="AZ12" s="137">
        <f t="shared" si="1"/>
        <v>393</v>
      </c>
      <c r="BA12" s="137">
        <f t="shared" si="1"/>
        <v>405</v>
      </c>
      <c r="BB12" s="137">
        <f t="shared" si="1"/>
        <v>1619</v>
      </c>
      <c r="BC12" s="135">
        <f>IF(ISNUMBER(X12),X12," - ")</f>
        <v>123</v>
      </c>
      <c r="BD12" s="136">
        <f t="shared" si="2"/>
        <v>1.0305343511450382</v>
      </c>
      <c r="BE12" s="137">
        <f t="shared" si="3"/>
        <v>3.9975308641975307</v>
      </c>
      <c r="BF12" s="137">
        <f t="shared" si="4"/>
        <v>0.3037037037037037</v>
      </c>
      <c r="BG12" s="209">
        <f t="shared" si="5"/>
        <v>5.0641975308641971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1508</v>
      </c>
      <c r="J14" s="197">
        <f t="shared" si="7"/>
        <v>529</v>
      </c>
      <c r="K14" s="197">
        <f t="shared" si="7"/>
        <v>443</v>
      </c>
      <c r="L14" s="197">
        <f t="shared" si="7"/>
        <v>1594</v>
      </c>
      <c r="M14" s="197">
        <f t="shared" si="7"/>
        <v>156</v>
      </c>
      <c r="N14" s="197">
        <f t="shared" si="7"/>
        <v>125</v>
      </c>
      <c r="O14" s="197">
        <f t="shared" si="7"/>
        <v>200</v>
      </c>
      <c r="P14" s="197">
        <f t="shared" si="7"/>
        <v>109</v>
      </c>
      <c r="Q14" s="197">
        <f t="shared" si="7"/>
        <v>50</v>
      </c>
      <c r="R14" s="197">
        <f t="shared" si="7"/>
        <v>2423</v>
      </c>
      <c r="S14" s="197">
        <f t="shared" si="7"/>
        <v>1549</v>
      </c>
      <c r="T14" s="197">
        <f t="shared" si="7"/>
        <v>349</v>
      </c>
      <c r="U14" s="197">
        <f t="shared" si="7"/>
        <v>346</v>
      </c>
      <c r="V14" s="197">
        <f t="shared" si="7"/>
        <v>1525</v>
      </c>
      <c r="W14" s="197">
        <f t="shared" si="7"/>
        <v>137</v>
      </c>
      <c r="X14" s="197">
        <f t="shared" si="7"/>
        <v>123</v>
      </c>
      <c r="Y14" s="197">
        <f t="shared" si="7"/>
        <v>124</v>
      </c>
      <c r="Z14" s="197">
        <f t="shared" si="7"/>
        <v>54</v>
      </c>
      <c r="AA14" s="197">
        <f t="shared" si="7"/>
        <v>64</v>
      </c>
      <c r="AB14" s="197">
        <f t="shared" si="7"/>
        <v>114</v>
      </c>
      <c r="AC14" s="197">
        <f t="shared" si="7"/>
        <v>0</v>
      </c>
      <c r="AD14" s="197">
        <f t="shared" si="7"/>
        <v>0</v>
      </c>
      <c r="AE14" s="197">
        <f t="shared" si="7"/>
        <v>0</v>
      </c>
      <c r="AF14" s="197">
        <f>SUBTOTAL(9,AF9:AF13)</f>
        <v>0</v>
      </c>
      <c r="AG14" s="197">
        <f t="shared" ref="AG14:AT14" si="8">SUBTOTAL(9,AG8:AG13)</f>
        <v>136</v>
      </c>
      <c r="AH14" s="197">
        <f t="shared" si="8"/>
        <v>45</v>
      </c>
      <c r="AI14" s="197">
        <f t="shared" si="8"/>
        <v>59</v>
      </c>
      <c r="AJ14" s="197">
        <f t="shared" si="8"/>
        <v>122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1685</v>
      </c>
      <c r="AZ14" s="197">
        <f>SUBTOTAL(9,AZ8:AZ13)</f>
        <v>394</v>
      </c>
      <c r="BA14" s="197">
        <f>SUBTOTAL(9,BA8:BA13)</f>
        <v>405</v>
      </c>
      <c r="BB14" s="197">
        <f>SUBTOTAL(9,BB8:BB13)</f>
        <v>1647</v>
      </c>
      <c r="BC14" s="197">
        <f>SUBTOTAL(9,BC8:BC13)</f>
        <v>123</v>
      </c>
      <c r="BD14" s="219">
        <f>IF(ISNUMBER(BA14/AZ14),BA14/AZ14," - ")</f>
        <v>1.0279187817258884</v>
      </c>
      <c r="BE14" s="220">
        <f>IF(ISNUMBER(BB14/BA14),BB14/BA14, " - ")</f>
        <v>4.0666666666666664</v>
      </c>
      <c r="BF14" s="220">
        <f>IF(ISNUMBER(BC14/BA14),BC14/BA14, " - ")</f>
        <v>0.3037037037037037</v>
      </c>
      <c r="BG14" s="221">
        <f>IF(ISNUMBER((AY14+AZ14)/BA14),(AY14+AZ14)/BA14," - ")</f>
        <v>5.1333333333333337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506</v>
      </c>
      <c r="J17" s="196">
        <v>609</v>
      </c>
      <c r="K17" s="196">
        <v>599</v>
      </c>
      <c r="L17" s="196">
        <v>518</v>
      </c>
      <c r="M17" s="196">
        <v>92</v>
      </c>
      <c r="N17" s="196">
        <v>410</v>
      </c>
      <c r="O17" s="194">
        <v>0</v>
      </c>
      <c r="P17" s="196">
        <v>21</v>
      </c>
      <c r="Q17" s="196">
        <v>8</v>
      </c>
      <c r="R17" s="196">
        <v>69</v>
      </c>
      <c r="S17" s="196">
        <v>598</v>
      </c>
      <c r="T17" s="196">
        <v>592</v>
      </c>
      <c r="U17" s="196">
        <v>585</v>
      </c>
      <c r="V17" s="196">
        <v>607</v>
      </c>
      <c r="W17" s="196">
        <v>102</v>
      </c>
      <c r="X17" s="202">
        <v>410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598</v>
      </c>
      <c r="AZ17" s="137">
        <f t="shared" si="10"/>
        <v>592</v>
      </c>
      <c r="BA17" s="137">
        <f t="shared" si="10"/>
        <v>585</v>
      </c>
      <c r="BB17" s="137">
        <f t="shared" si="10"/>
        <v>607</v>
      </c>
      <c r="BC17" s="135">
        <f>IF(ISNUMBER(W17),W17," - ")</f>
        <v>102</v>
      </c>
      <c r="BD17" s="136">
        <f t="shared" ref="BD17:BD22" si="12">IF(ISNUMBER(BA17/AZ17),BA17/AZ17," - ")</f>
        <v>0.98817567567567566</v>
      </c>
      <c r="BE17" s="137">
        <f t="shared" ref="BE17:BE22" si="13">IF(ISNUMBER(BB17/BA17),BB17/BA17, " - ")</f>
        <v>1.0376068376068377</v>
      </c>
      <c r="BF17" s="137">
        <f t="shared" ref="BF17:BF22" si="14">IF(ISNUMBER(BC17/BA17),BC17/BA17, " - ")</f>
        <v>0.17435897435897435</v>
      </c>
      <c r="BG17" s="209">
        <f t="shared" si="11"/>
        <v>2.0341880341880341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35</v>
      </c>
      <c r="K18" s="196">
        <v>35</v>
      </c>
      <c r="L18" s="196">
        <v>52</v>
      </c>
      <c r="M18" s="196">
        <v>2</v>
      </c>
      <c r="N18" s="196">
        <v>21</v>
      </c>
      <c r="O18" s="196">
        <v>0</v>
      </c>
      <c r="P18" s="196">
        <v>0</v>
      </c>
      <c r="Q18" s="196">
        <v>0</v>
      </c>
      <c r="R18" s="196">
        <v>0</v>
      </c>
      <c r="S18" s="196">
        <v>54</v>
      </c>
      <c r="T18" s="196">
        <v>40</v>
      </c>
      <c r="U18" s="196">
        <v>26</v>
      </c>
      <c r="V18" s="196">
        <v>68</v>
      </c>
      <c r="W18" s="196">
        <v>0</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40</v>
      </c>
      <c r="BA18" s="139">
        <f t="shared" si="15"/>
        <v>26</v>
      </c>
      <c r="BB18" s="139">
        <f t="shared" si="15"/>
        <v>68</v>
      </c>
      <c r="BC18" s="135">
        <f>IF(ISNUMBER(W18),W18," - ")</f>
        <v>0</v>
      </c>
      <c r="BD18" s="136">
        <f>IF(ISNUMBER(BA18/AZ18),BA18/AZ18," - ")</f>
        <v>0.65</v>
      </c>
      <c r="BE18" s="137">
        <f>IF(ISNUMBER(BB18/BA18),BB18/BA18, " - ")</f>
        <v>2.6153846153846154</v>
      </c>
      <c r="BF18" s="137">
        <f>IF(ISNUMBER(BC18/BA18),BC18/BA18, " - ")</f>
        <v>0</v>
      </c>
      <c r="BG18" s="209">
        <f>IF(ISNUMBER((AY18+AZ18)/BA18),(AY18+AZ18)/BA18," - ")</f>
        <v>3.6153846153846154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558</v>
      </c>
      <c r="J23" s="197">
        <f t="shared" si="21"/>
        <v>644</v>
      </c>
      <c r="K23" s="197">
        <f t="shared" si="21"/>
        <v>634</v>
      </c>
      <c r="L23" s="197">
        <f t="shared" si="21"/>
        <v>570</v>
      </c>
      <c r="M23" s="197">
        <f t="shared" si="21"/>
        <v>94</v>
      </c>
      <c r="N23" s="197">
        <f t="shared" si="21"/>
        <v>431</v>
      </c>
      <c r="O23" s="197">
        <f t="shared" si="21"/>
        <v>0</v>
      </c>
      <c r="P23" s="197">
        <f t="shared" si="21"/>
        <v>21</v>
      </c>
      <c r="Q23" s="197">
        <f t="shared" si="21"/>
        <v>8</v>
      </c>
      <c r="R23" s="197">
        <f t="shared" si="21"/>
        <v>69</v>
      </c>
      <c r="S23" s="197">
        <f t="shared" si="21"/>
        <v>652</v>
      </c>
      <c r="T23" s="197">
        <f t="shared" si="21"/>
        <v>632</v>
      </c>
      <c r="U23" s="197">
        <f t="shared" si="21"/>
        <v>611</v>
      </c>
      <c r="V23" s="197">
        <f t="shared" si="21"/>
        <v>675</v>
      </c>
      <c r="W23" s="197">
        <f t="shared" si="21"/>
        <v>102</v>
      </c>
      <c r="X23" s="197">
        <f t="shared" si="21"/>
        <v>426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652</v>
      </c>
      <c r="AZ23" s="197">
        <f>SUBTOTAL(9,AZ15:AZ22)</f>
        <v>632</v>
      </c>
      <c r="BA23" s="197">
        <f>SUBTOTAL(9,BA15:BA22)</f>
        <v>611</v>
      </c>
      <c r="BB23" s="197">
        <f>SUBTOTAL(9,BB15:BB22)</f>
        <v>675</v>
      </c>
      <c r="BC23" s="197">
        <f>SUBTOTAL(9,BC15:BC22)</f>
        <v>102</v>
      </c>
      <c r="BD23" s="219">
        <f>IF(ISNUMBER(BA23/AZ23),BA23/AZ23," - ")</f>
        <v>0.96677215189873422</v>
      </c>
      <c r="BE23" s="220">
        <f>IF(ISNUMBER(BB23/BA23),BB23/BA23, " - ")</f>
        <v>1.1047463175122749</v>
      </c>
      <c r="BF23" s="220">
        <f>IF(ISNUMBER(BC23/BA23),BC23/BA23, " - ")</f>
        <v>0.16693944353518822</v>
      </c>
      <c r="BG23" s="221">
        <f>IF(ISNUMBER((AY23+AZ23)/BA23),(AY23+AZ23)/BA23," - ")</f>
        <v>2.1014729950900164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2066</v>
      </c>
      <c r="J31" s="144">
        <f t="shared" si="36"/>
        <v>1173</v>
      </c>
      <c r="K31" s="144">
        <f t="shared" si="36"/>
        <v>1077</v>
      </c>
      <c r="L31" s="144">
        <f t="shared" si="36"/>
        <v>2164</v>
      </c>
      <c r="M31" s="144">
        <f t="shared" si="36"/>
        <v>250</v>
      </c>
      <c r="N31" s="144">
        <f t="shared" si="36"/>
        <v>556</v>
      </c>
      <c r="O31" s="144">
        <f t="shared" si="36"/>
        <v>200</v>
      </c>
      <c r="P31" s="144">
        <f t="shared" si="36"/>
        <v>130</v>
      </c>
      <c r="Q31" s="144">
        <f t="shared" si="36"/>
        <v>58</v>
      </c>
      <c r="R31" s="144">
        <f t="shared" si="36"/>
        <v>2492</v>
      </c>
      <c r="S31" s="144">
        <f t="shared" si="36"/>
        <v>2201</v>
      </c>
      <c r="T31" s="144">
        <f t="shared" si="36"/>
        <v>981</v>
      </c>
      <c r="U31" s="144">
        <f t="shared" si="36"/>
        <v>957</v>
      </c>
      <c r="V31" s="144">
        <f t="shared" si="36"/>
        <v>2200</v>
      </c>
      <c r="W31" s="144">
        <f t="shared" si="36"/>
        <v>239</v>
      </c>
      <c r="X31" s="144">
        <f t="shared" si="36"/>
        <v>549</v>
      </c>
      <c r="Y31" s="144">
        <f t="shared" si="36"/>
        <v>124</v>
      </c>
      <c r="Z31" s="144">
        <f t="shared" si="36"/>
        <v>54</v>
      </c>
      <c r="AA31" s="144">
        <f t="shared" si="36"/>
        <v>64</v>
      </c>
      <c r="AB31" s="144">
        <f t="shared" si="36"/>
        <v>114</v>
      </c>
      <c r="AC31" s="144">
        <f t="shared" si="36"/>
        <v>0</v>
      </c>
      <c r="AD31" s="144">
        <f t="shared" si="36"/>
        <v>0</v>
      </c>
      <c r="AE31" s="144">
        <f t="shared" si="36"/>
        <v>0</v>
      </c>
      <c r="AF31" s="144">
        <f t="shared" si="36"/>
        <v>0</v>
      </c>
      <c r="AG31" s="144">
        <f t="shared" si="36"/>
        <v>136</v>
      </c>
      <c r="AH31" s="144">
        <f t="shared" si="36"/>
        <v>45</v>
      </c>
      <c r="AI31" s="144">
        <f t="shared" si="36"/>
        <v>59</v>
      </c>
      <c r="AJ31" s="144">
        <f t="shared" si="36"/>
        <v>122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2337</v>
      </c>
      <c r="AZ31" s="144">
        <f>SUBTOTAL(9,AZ9:AZ30)</f>
        <v>1026</v>
      </c>
      <c r="BA31" s="144">
        <f>SUBTOTAL(9,BA9:BA30)</f>
        <v>1016</v>
      </c>
      <c r="BB31" s="144">
        <f>SUBTOTAL(9,BB9:BB30)</f>
        <v>2322</v>
      </c>
      <c r="BC31" s="145">
        <f>SUBTOTAL(9,BC9:BC30)</f>
        <v>225</v>
      </c>
      <c r="BD31" s="227">
        <f>IF(ISNUMBER(BA31/AZ31),BA31/AZ31," - ")</f>
        <v>0.99025341130604283</v>
      </c>
      <c r="BE31" s="224">
        <f>IF(ISNUMBER(BB31/BA31),BB31/BA31, " - ")</f>
        <v>2.2854330708661417</v>
      </c>
      <c r="BF31" s="224">
        <f>IF(ISNUMBER(BC31/BA31),BC31/BA31, " - ")</f>
        <v>0.22145669291338582</v>
      </c>
      <c r="BG31" s="145">
        <f>IF(ISNUMBER((AY31+AZ31)/BA31),(AY31+AZ31)/BA31," - ")</f>
        <v>3.3100393700787403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jFA1tEWU5eH63jMugJ+L1xB5w49YJbUWmQHyWuMw/h/LAEqk8oh94jirDfDb4nkPpdjT6OM68N90WP6/4UgdQ==" saltValue="AL76EZVzUD6gxQb9KJaq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IOkKNvC1/9Bl/b8Cj9hdqTscp5G5iw5dtva5VeUWgPUA2vwcI5erujR6zU3mwMlBK4bAnunNqnMxqTr8TFXIw==" saltValue="C7mSQECSezfy0zUzUTnY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CANGAS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2</v>
      </c>
      <c r="AD10" s="549"/>
      <c r="AE10" s="563"/>
      <c r="AF10" s="551">
        <f>IF(ISNUMBER(Datos!L10),Datos!L10,"-")</f>
        <v>20</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20.000000000000004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-9.5238095238095233E-2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54</v>
      </c>
      <c r="O12" s="549"/>
      <c r="P12" s="549"/>
      <c r="Q12" s="547">
        <f>IF(ISNUMBER(Datos!P12),Datos!P12,0)</f>
        <v>109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114</v>
      </c>
      <c r="AI12" s="549" t="str">
        <f>IF(ISNUMBER(Datos!CD12),Datos!CD12,"-")</f>
        <v>-</v>
      </c>
      <c r="AJ12" s="549" t="str">
        <f>IF(ISNUMBER(Datos!EN12),Datos!EN12," - ")</f>
        <v xml:space="preserve"> - </v>
      </c>
      <c r="AK12" s="549"/>
      <c r="AL12" s="550"/>
      <c r="AM12" s="766">
        <f>IF(ISNUMBER(Datos!R12),Datos!R12," - ")</f>
        <v>2404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153</v>
      </c>
      <c r="BD12" s="693">
        <f>IF(ISNUMBER(Datos!N12),Datos!N12," - ")</f>
        <v>125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0.86896551724137927</v>
      </c>
      <c r="BH12" s="764">
        <f>IF(ISNUMBER(((IF(J_V="SI",Datos!L12/Datos!K12,(Datos!L12+Datos!AB12)/(Datos!K12+Datos!AA12)))*11)/factor_trimestre),((IF(J_V="SI",Datos!L12/Datos!K12,(Datos!L12+Datos!AB12)/(Datos!K12+Datos!AA12)))*11)/factor_trimestre," - ")</f>
        <v>10.047619047619047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2.6034997865983782E-2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54</v>
      </c>
      <c r="O14" s="1199">
        <f t="shared" si="1"/>
        <v>0</v>
      </c>
      <c r="P14" s="1199">
        <f t="shared" si="1"/>
        <v>0</v>
      </c>
      <c r="Q14" s="1198">
        <f t="shared" si="1"/>
        <v>109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50</v>
      </c>
      <c r="AD14" s="1198">
        <f t="shared" si="2"/>
        <v>0</v>
      </c>
      <c r="AE14" s="1198">
        <f t="shared" si="2"/>
        <v>0</v>
      </c>
      <c r="AF14" s="1198">
        <f t="shared" si="2"/>
        <v>20</v>
      </c>
      <c r="AG14" s="1198">
        <f t="shared" si="2"/>
        <v>0</v>
      </c>
      <c r="AH14" s="1198">
        <f t="shared" si="2"/>
        <v>114</v>
      </c>
      <c r="AI14" s="1198">
        <f t="shared" si="2"/>
        <v>0</v>
      </c>
      <c r="AJ14" s="1198">
        <f t="shared" si="2"/>
        <v>0</v>
      </c>
      <c r="AK14" s="1198">
        <f t="shared" si="2"/>
        <v>0</v>
      </c>
      <c r="AL14" s="1198">
        <f t="shared" si="2"/>
        <v>0</v>
      </c>
      <c r="AM14" s="1198">
        <f t="shared" si="2"/>
        <v>2423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156</v>
      </c>
      <c r="BD14" s="1198">
        <f t="shared" si="2"/>
        <v>125</v>
      </c>
      <c r="BE14" s="1198">
        <f t="shared" si="2"/>
        <v>0</v>
      </c>
      <c r="BF14" s="1198">
        <f t="shared" si="2"/>
        <v>0</v>
      </c>
      <c r="BG14" s="1198">
        <f>IF(ISNUMBER(Datos!K14/Datos!J14),Datos!K14/Datos!J14," - ")</f>
        <v>0.83742911153119093</v>
      </c>
      <c r="BH14" s="1202">
        <f>IF(ISNUMBER(((Datos!L14/Datos!K14)*11)/factor_trimestre),((Datos!L14/Datos!K14)*11)/factor_trimestre," - ")</f>
        <v>10.794582392776526</v>
      </c>
      <c r="BI14" s="1198">
        <f>IF(ISNUMBER('Resol  Asuntos'!D14/NºAsuntos!G14),'Resol  Asuntos'!D14/NºAsuntos!G14," - ")</f>
        <v>0.30769230769230771</v>
      </c>
      <c r="BJ14" s="1198" t="str">
        <f>IF(ISNUMBER(Datos!CI14/Datos!CJ14),Datos!CI14/Datos!CJ14," - ")</f>
        <v xml:space="preserve"> - </v>
      </c>
      <c r="BK14" s="1198">
        <f>SUBTOTAL(9,BK8:BK13)</f>
        <v>0</v>
      </c>
      <c r="BL14" s="1198">
        <f>IF(ISNUMBER((I14-AB14+L14)/(F14)),(I14-AB14+L14)/(F14)," - ")</f>
        <v>-0.15</v>
      </c>
      <c r="BM14" s="1203">
        <f>SUBTOTAL(9,BM9:BM13)</f>
        <v>-6.9203097372111444E-2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508</v>
      </c>
      <c r="G17" s="743">
        <f>IF(ISNUMBER(IF(D_I="SI",Datos!I17,Datos!I17+Datos!AC17)),IF(D_I="SI",Datos!I17,Datos!I17+Datos!AC17)," - ")</f>
        <v>506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599</v>
      </c>
      <c r="AC17" s="240">
        <f>IF(ISNUMBER(Datos!Q17),Datos!Q17," - ")</f>
        <v>8</v>
      </c>
      <c r="AD17" s="374"/>
      <c r="AE17" s="562"/>
      <c r="AF17" s="741">
        <f>IF(ISNUMBER(IF(D_I="SI",Datos!L17,Datos!L17+Datos!AF17)),IF(D_I="SI",Datos!L17,Datos!L17+Datos!AF17)," - ")</f>
        <v>518</v>
      </c>
      <c r="AG17" s="374"/>
      <c r="AH17" s="374"/>
      <c r="AI17" s="374"/>
      <c r="AJ17" s="549"/>
      <c r="AK17" s="374"/>
      <c r="AL17" s="545"/>
      <c r="AM17" s="375">
        <f>IF(ISNUMBER(Datos!R17),Datos!R17," - ")</f>
        <v>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92</v>
      </c>
      <c r="BD17" s="243">
        <f>IF(ISNUMBER(Datos!N17),Datos!N17," - ")</f>
        <v>410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0.98357963875205257</v>
      </c>
      <c r="BH17" s="764">
        <f>IF(ISNUMBER(((IF(D_I="SI",Datos!L17/Datos!K17,(Datos!L17+Datos!AF17)/(Datos!K17+Datos!AE17)))*11)/factor_trimestre),((IF(D_I="SI",Datos!L17/Datos!K17,(Datos!L17+Datos!AF17)/(Datos!K17+Datos!AE17)))*11)/factor_trimestre," - ")</f>
        <v>2.5943238731218701</v>
      </c>
      <c r="BI17" s="266">
        <f>IF(ISNUMBER('Resol  Asuntos'!D17/NºAsuntos!G17),'Resol  Asuntos'!D17/NºAsuntos!G17," - ")</f>
        <v>0.15358931552587646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52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4.4571428571428573</v>
      </c>
      <c r="BI18" s="763">
        <f>IF(ISNUMBER('Resol  Asuntos'!D18/NºAsuntos!G18),'Resol  Asuntos'!D18/NºAsuntos!G18," - ")</f>
        <v>5.7142857142857141E-2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508</v>
      </c>
      <c r="G23" s="1197">
        <f>SUBTOTAL(9,G16:G22)</f>
        <v>558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634</v>
      </c>
      <c r="AC23" s="1198">
        <f t="shared" si="5"/>
        <v>8</v>
      </c>
      <c r="AD23" s="1198">
        <f t="shared" si="5"/>
        <v>0</v>
      </c>
      <c r="AE23" s="1198">
        <f t="shared" si="5"/>
        <v>0</v>
      </c>
      <c r="AF23" s="1198">
        <f t="shared" si="5"/>
        <v>570</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v>
      </c>
      <c r="BD23" s="1198">
        <f t="shared" si="5"/>
        <v>431</v>
      </c>
      <c r="BE23" s="1198">
        <f t="shared" si="5"/>
        <v>0</v>
      </c>
      <c r="BF23" s="1198">
        <f t="shared" si="5"/>
        <v>0</v>
      </c>
      <c r="BG23" s="1198">
        <f>IF(ISNUMBER(Datos!K23/Datos!J23),Datos!K23/Datos!J23," - ")</f>
        <v>0.98447204968944102</v>
      </c>
      <c r="BH23" s="1202">
        <f>IF(ISNUMBER(((Datos!L23/Datos!K23)*11)/factor_trimestre),((Datos!L23/Datos!K23)*11)/factor_trimestre," - ")</f>
        <v>2.6971608832807572</v>
      </c>
      <c r="BI23" s="1198">
        <f>SUBTOTAL(9,BI16:BI22)</f>
        <v>0.21073217266873359</v>
      </c>
      <c r="BJ23" s="1198">
        <f>SUBTOTAL(9,BJ16:BJ22)</f>
        <v>0</v>
      </c>
      <c r="BK23" s="1198">
        <f>SUBTOTAL(9,BK16:BK22)</f>
        <v>0</v>
      </c>
      <c r="BL23" s="1198">
        <f>IF(ISNUMBER((I23-AB23+L23)/(F23)),(I23-AB23+L23)/(F23)," - ")</f>
        <v>-1.2480314960629921</v>
      </c>
      <c r="BM23" s="1205">
        <f>IF(ISNUMBER((Datos!P23-Datos!Q23)/(Datos!R23-Datos!P23+Datos!Q23)),(Datos!P23-Datos!Q23)/(Datos!R23-Datos!P23+Datos!Q23)," - ")</f>
        <v>0.23214285714285715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528</v>
      </c>
      <c r="G31" s="1117">
        <f t="shared" si="18"/>
        <v>578</v>
      </c>
      <c r="H31" s="1119">
        <f t="shared" si="18"/>
        <v>0</v>
      </c>
      <c r="I31" s="1117">
        <f t="shared" si="18"/>
        <v>0</v>
      </c>
      <c r="J31" s="1119">
        <f t="shared" si="18"/>
        <v>0</v>
      </c>
      <c r="K31" s="1119">
        <f t="shared" si="18"/>
        <v>0</v>
      </c>
      <c r="L31" s="1180">
        <f t="shared" si="18"/>
        <v>0</v>
      </c>
      <c r="M31" s="1180">
        <f t="shared" si="18"/>
        <v>0</v>
      </c>
      <c r="N31" s="1180">
        <f t="shared" si="18"/>
        <v>54</v>
      </c>
      <c r="O31" s="1180">
        <f t="shared" si="18"/>
        <v>0</v>
      </c>
      <c r="P31" s="1180">
        <f t="shared" si="18"/>
        <v>0</v>
      </c>
      <c r="Q31" s="1119">
        <f t="shared" si="18"/>
        <v>130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637</v>
      </c>
      <c r="AC31" s="1118">
        <f t="shared" si="19"/>
        <v>58</v>
      </c>
      <c r="AD31" s="1118">
        <f t="shared" si="19"/>
        <v>0</v>
      </c>
      <c r="AE31" s="1118">
        <f t="shared" si="19"/>
        <v>0</v>
      </c>
      <c r="AF31" s="1125">
        <f t="shared" si="19"/>
        <v>590</v>
      </c>
      <c r="AG31" s="1125">
        <f t="shared" si="19"/>
        <v>0</v>
      </c>
      <c r="AH31" s="1125">
        <f t="shared" si="19"/>
        <v>114</v>
      </c>
      <c r="AI31" s="1125">
        <f t="shared" si="19"/>
        <v>0</v>
      </c>
      <c r="AJ31" s="1118">
        <f t="shared" si="19"/>
        <v>0</v>
      </c>
      <c r="AK31" s="1125">
        <f t="shared" si="19"/>
        <v>0</v>
      </c>
      <c r="AL31" s="1125">
        <f t="shared" si="19"/>
        <v>0</v>
      </c>
      <c r="AM31" s="1125">
        <f t="shared" si="19"/>
        <v>2492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250</v>
      </c>
      <c r="BD31" s="1117">
        <f t="shared" si="19"/>
        <v>556</v>
      </c>
      <c r="BE31" s="1117">
        <f t="shared" si="19"/>
        <v>0</v>
      </c>
      <c r="BF31" s="1127">
        <f t="shared" si="19"/>
        <v>0</v>
      </c>
      <c r="BG31" s="1223">
        <f>IF(ISNUMBER(Datos!K31/Datos!J31),Datos!K31/Datos!J31," - ")</f>
        <v>0.9181585677749361</v>
      </c>
      <c r="BH31" s="1223">
        <f>IF(ISNUMBER(((Datos!L31/Datos!K31)*11)/factor_trimestre),((Datos!L31/Datos!K31)*11)/factor_trimestre," - ")</f>
        <v>6.0278551532033431</v>
      </c>
      <c r="BI31" s="1103">
        <f>IF(ISNUMBER(Datos!J31/Datos!I31),Datos!J31/Datos!I31," - ")</f>
        <v>0.56776379477250727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-1.206439393939394</v>
      </c>
      <c r="BM31" s="1188">
        <f>IF(ISNUMBER((Datos!P31-Datos!Q31+R31)/(Datos!R31-Datos!P31+Datos!Q31-R31)),(Datos!P31-Datos!Q31+R31)/(Datos!R31-Datos!P31+Datos!Q31-R31)," - ")</f>
        <v>2.9752066115702479E-2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257.32158867844726</v>
      </c>
      <c r="G33" s="674">
        <f>IF(ISNUMBER(STDEV(G8:G30)),STDEV(G8:G30),"-")</f>
        <v>251.66076940425748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297.24625032678432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69.496145833522917</v>
      </c>
      <c r="BD33" s="673"/>
      <c r="BE33" s="673">
        <f>IF(ISNUMBER(STDEV(BE8:BE30)),STDEV(BE8:BE30),"-")</f>
        <v>0</v>
      </c>
      <c r="BF33" s="678">
        <f>IF(ISNUMBER(STDEV(BF8:BF30)),STDEV(BF8:BF30),"-")</f>
        <v>0</v>
      </c>
      <c r="BG33" s="1052">
        <f>IF(ISNUMBER(STDEV(BG8:BG30)),STDEV(BG8:BG30),"-")</f>
        <v>7.2726714336805456E-2</v>
      </c>
      <c r="BH33" s="1058">
        <f>IF(ISNUMBER(STDEV(BH8:BH30)),STDEV(BH8:BH30),"-")</f>
        <v>6.7048784598121776</v>
      </c>
      <c r="BI33" s="273">
        <f>IF(ISNUMBER(STDEV(BI8:BI30)),STDEV(BI8:BI30),"-")</f>
        <v>0.10491303162216958</v>
      </c>
      <c r="BJ33" s="244" t="str">
        <f>IF(ISNUMBER(BL33/BM33),BL33/BM33," - ")</f>
        <v xml:space="preserve"> - </v>
      </c>
      <c r="BK33" s="709"/>
      <c r="BL33" s="681">
        <f>IF(ISNUMBER(STDEV(BL8:BL30)),STDEV(BL8:BL30),"-")</f>
        <v>0.77642551682255168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eeiAuUE2J9OxDCqxY5wtaB8XjXRjQCL2lOp5CljVczUPlYHWV2fAVlkxSoIZ7j+Lx00NDpeqf8Sgn1QJrOCJA==" saltValue="jOCQqr+MxtI13Ek2GHrc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CANGAS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2</v>
      </c>
      <c r="AA10" s="551">
        <f>IF(ISNUMBER(Datos!L10),Datos!L10,"-")</f>
        <v>20</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-9.5238095238095233E-2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2404</v>
      </c>
      <c r="AF12" s="693" t="str">
        <f>IF(ISNUMBER(Datos!BV12),Datos!BV12," - ")</f>
        <v xml:space="preserve"> - </v>
      </c>
      <c r="AG12" s="552" t="str">
        <f>IF(ISNUMBER(Datos!DV12),Datos!DV12," - ")</f>
        <v xml:space="preserve"> - </v>
      </c>
      <c r="AH12" s="553"/>
      <c r="AI12" s="554"/>
      <c r="AJ12" s="552">
        <f>IF(ISNUMBER(Datos!M12),Datos!M12," - ")</f>
        <v>153</v>
      </c>
      <c r="AK12" s="693">
        <f>IF(ISNUMBER(Datos!N12),Datos!N12," - ")</f>
        <v>125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10.047619047619047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2.6034997865983782E-2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109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50</v>
      </c>
      <c r="AA14" s="1199">
        <f t="shared" si="3"/>
        <v>20</v>
      </c>
      <c r="AB14" s="1199">
        <f t="shared" si="3"/>
        <v>0</v>
      </c>
      <c r="AC14" s="1199">
        <f t="shared" si="3"/>
        <v>0</v>
      </c>
      <c r="AD14" s="1199">
        <f t="shared" si="3"/>
        <v>0</v>
      </c>
      <c r="AE14" s="1199">
        <f t="shared" si="3"/>
        <v>2423</v>
      </c>
      <c r="AF14" s="1211">
        <f t="shared" si="3"/>
        <v>0</v>
      </c>
      <c r="AG14" s="1211">
        <f t="shared" si="3"/>
        <v>0</v>
      </c>
      <c r="AH14" s="1211">
        <f t="shared" si="3"/>
        <v>0</v>
      </c>
      <c r="AI14" s="1211">
        <f t="shared" si="3"/>
        <v>0</v>
      </c>
      <c r="AJ14" s="1211">
        <f t="shared" si="3"/>
        <v>156</v>
      </c>
      <c r="AK14" s="1211">
        <f t="shared" si="3"/>
        <v>125</v>
      </c>
      <c r="AL14" s="1211">
        <f t="shared" si="3"/>
        <v>0</v>
      </c>
      <c r="AM14" s="1211">
        <f t="shared" si="3"/>
        <v>0</v>
      </c>
      <c r="AN14" s="1211">
        <f t="shared" si="3"/>
        <v>0</v>
      </c>
      <c r="AO14" s="1203">
        <f>IF(ISNUMBER(((NºAsuntos!I14/NºAsuntos!G14)*11)/factor_trimestre),((NºAsuntos!I14/NºAsuntos!G14)*11)/factor_trimestre," - ")</f>
        <v>10.106508875739646</v>
      </c>
      <c r="AP14" s="1213" t="str">
        <f>IF(ISNUMBER(Datos!CI14/Datos!CJ14),Datos!CI14/Datos!CJ14," - ")</f>
        <v xml:space="preserve"> - </v>
      </c>
      <c r="AQ14" s="1236">
        <f t="shared" ref="AQ14:AV14" si="4">SUBTOTAL(9,AQ9:AQ13)</f>
        <v>0</v>
      </c>
      <c r="AR14" s="1236">
        <f t="shared" si="4"/>
        <v>-6.9203097372111444E-2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508</v>
      </c>
      <c r="G17" s="552">
        <f>IF(ISNUMBER(IF(D_I="SI",Datos!I17,Datos!I17+Datos!AC17)),IF(D_I="SI",Datos!I17,Datos!I17+Datos!AC17)," - ")</f>
        <v>506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599</v>
      </c>
      <c r="Z17" s="805">
        <f>IF(ISNUMBER(Datos!Q17),Datos!Q17," - ")</f>
        <v>8</v>
      </c>
      <c r="AA17" s="551">
        <f>IF(ISNUMBER(IF(D_I="SI",Datos!L17,Datos!L17+Datos!AF17)),IF(D_I="SI",Datos!L17,Datos!L17+Datos!AF17)," - ")</f>
        <v>518</v>
      </c>
      <c r="AB17" s="549"/>
      <c r="AC17" s="549"/>
      <c r="AD17" s="563"/>
      <c r="AE17" s="563">
        <f>IF(ISNUMBER(Datos!R17),Datos!R17," - ")</f>
        <v>69</v>
      </c>
      <c r="AF17" s="693" t="str">
        <f>IF(ISNUMBER(Datos!BV17),Datos!BV17," - ")</f>
        <v xml:space="preserve"> - </v>
      </c>
      <c r="AG17" s="552"/>
      <c r="AH17" s="553"/>
      <c r="AI17" s="554"/>
      <c r="AJ17" s="552">
        <f>IF(ISNUMBER(Datos!M17),Datos!M17," - ")</f>
        <v>92</v>
      </c>
      <c r="AK17" s="693">
        <f>IF(ISNUMBER(Datos!N17),Datos!N17," - ")</f>
        <v>410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2.5943238731218701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52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4.4571428571428573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508</v>
      </c>
      <c r="G23" s="1197">
        <f>SUBTOTAL(9,G16:G22)</f>
        <v>558</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634</v>
      </c>
      <c r="Z23" s="1240">
        <f t="shared" si="6"/>
        <v>8</v>
      </c>
      <c r="AA23" s="1240">
        <f t="shared" si="6"/>
        <v>570</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94</v>
      </c>
      <c r="AK23" s="1240">
        <f t="shared" si="6"/>
        <v>431</v>
      </c>
      <c r="AL23" s="1240">
        <f t="shared" si="6"/>
        <v>0</v>
      </c>
      <c r="AM23" s="1240">
        <f t="shared" si="6"/>
        <v>0</v>
      </c>
      <c r="AN23" s="1240">
        <f t="shared" si="6"/>
        <v>0</v>
      </c>
      <c r="AO23" s="1242">
        <f>IF(ISNUMBER(((NºAsuntos!I23/NºAsuntos!G23)*11)/factor_trimestre),((NºAsuntos!I23/NºAsuntos!G23)*11)/factor_trimestre," - ")</f>
        <v>2.6971608832807572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528</v>
      </c>
      <c r="G31" s="1117">
        <f t="shared" si="12"/>
        <v>578</v>
      </c>
      <c r="H31" s="1118">
        <f t="shared" si="12"/>
        <v>0</v>
      </c>
      <c r="I31" s="1117">
        <f t="shared" si="12"/>
        <v>0</v>
      </c>
      <c r="J31" s="1119">
        <f t="shared" si="12"/>
        <v>0</v>
      </c>
      <c r="K31" s="1117">
        <f t="shared" si="12"/>
        <v>0</v>
      </c>
      <c r="L31" s="1120">
        <f t="shared" si="12"/>
        <v>0</v>
      </c>
      <c r="M31" s="1117">
        <f t="shared" si="12"/>
        <v>0</v>
      </c>
      <c r="N31" s="1118">
        <f t="shared" si="12"/>
        <v>130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637</v>
      </c>
      <c r="Z31" s="1124">
        <f t="shared" si="13"/>
        <v>58</v>
      </c>
      <c r="AA31" s="1125">
        <f t="shared" si="13"/>
        <v>590</v>
      </c>
      <c r="AB31" s="1125">
        <f t="shared" si="13"/>
        <v>0</v>
      </c>
      <c r="AC31" s="1125">
        <f t="shared" si="13"/>
        <v>0</v>
      </c>
      <c r="AD31" s="1126">
        <f t="shared" si="13"/>
        <v>0</v>
      </c>
      <c r="AE31" s="1126">
        <f t="shared" si="13"/>
        <v>2492</v>
      </c>
      <c r="AF31" s="1127">
        <f t="shared" si="13"/>
        <v>0</v>
      </c>
      <c r="AG31" s="1128">
        <f t="shared" si="13"/>
        <v>0</v>
      </c>
      <c r="AH31" s="1129">
        <f t="shared" si="13"/>
        <v>0</v>
      </c>
      <c r="AI31" s="1127">
        <f t="shared" si="13"/>
        <v>0</v>
      </c>
      <c r="AJ31" s="1117">
        <f t="shared" si="13"/>
        <v>250</v>
      </c>
      <c r="AK31" s="1117">
        <f t="shared" si="13"/>
        <v>556</v>
      </c>
      <c r="AL31" s="1117">
        <f t="shared" si="13"/>
        <v>0</v>
      </c>
      <c r="AM31" s="1130">
        <f t="shared" si="13"/>
        <v>0</v>
      </c>
      <c r="AN31" s="1120">
        <f>IF(ISNUMBER(Datos!K31/Datos!J31),Datos!K31/Datos!J31," - ")</f>
        <v>0.9181585677749361</v>
      </c>
      <c r="AO31" s="1120">
        <f>IF(ISNUMBER(FIND("06",Criterios!A8,1)),(IF(ISNUMBER(((Datos!R31/Datos!Q31)*11)/factor_trimestre),((Datos!R31/Datos!Q31)*11)/factor_trimestre," - ")),(IF(ISNUMBER(((Datos!L31/Datos!K31)*11)/factor_trimestre),((Datos!L31/Datos!K31)*11)/factor_trimestre," - ")))</f>
        <v>6.0278551532033431</v>
      </c>
      <c r="AP31" s="1131" t="str">
        <f>IF(ISNUMBER(Datos!CI31/Datos!CJ31),Datos!CI31/Datos!CJ31," - ")</f>
        <v xml:space="preserve"> - </v>
      </c>
      <c r="AQ31" s="1131">
        <f>IF(OR(ISNUMBER(FIND("01",Criterios!A8,1)),ISNUMBER(FIND("02",Criterios!A8,1)),ISNUMBER(FIND("03",Criterios!A8,1)),ISNUMBER(FIND("04",Criterios!A8,1))),(J31-Y31+K31)/(F31-K31),(I31-Y31+K31)/(F31-K31))</f>
        <v>-1.206439393939394</v>
      </c>
      <c r="AR31" s="1131">
        <f>IF(ISNUMBER((Datos!P31-Datos!Q31+O31)/(Datos!R31-Datos!P31+Datos!Q31-O31)),(Datos!P31-Datos!Q31+O31)/(Datos!R31-Datos!P31+Datos!Q31-O31)," - ")</f>
        <v>2.9752066115702479E-2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257.32158867844726</v>
      </c>
      <c r="G33" s="674">
        <f>IF(ISNUMBER(STDEV(G8:G30)),STDEV(G8:G30),"-")</f>
        <v>251.66076940425748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69.496145833522917</v>
      </c>
      <c r="AK33" s="276"/>
      <c r="AL33" s="276">
        <f>IF(ISNUMBER(STDEV(AL8:AL30)),STDEV(AL8:AL30),"-")</f>
        <v>0</v>
      </c>
      <c r="AM33" s="278">
        <f>IF(ISNUMBER(STDEV(AM8:AM30)),STDEV(AM8:AM30),"-")</f>
        <v>0</v>
      </c>
      <c r="AN33" s="660">
        <f>IF(ISNUMBER(STDEV(AN8:AN30)),STDEV(AN8:AN30),"-")</f>
        <v>0</v>
      </c>
      <c r="AO33" s="661">
        <f>IF(ISNUMBER(STDEV(AO8:AO30)),STDEV(AO8:AO30),"-")</f>
        <v>6.6621315526400036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6tR8Kam2zxPxshRoQSAOudST7FZzDlB9ppCs9A3W8ZE/16ZQkPI4xYZO3EMB2QRnNRs4/ha1ino1Q/yx7za0g==" saltValue="1UXJc899a3O+2BHNiORN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yuJjoOMyVKsQ5daplOQea+2VASYCUpDvLu/BFMEts3q2jRHGipokG/fM26KcWjzyLUwxDY7lg9gh1I4qJQrJA==" saltValue="wurOwHY/LyZlto7IpO9i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jR7CYLzCcVis50qQt2lZRXwgC8eWafLLdkPSPGqr7dhZkiDxfYnRNHkeFSESlkFVN+3HfAptUmal7lNdDhsNw==" saltValue="fdTAeBAsqvCk7AAgJFaJ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CANGAS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0.30769230769230771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0.21757131728816848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POdTM/ebNDLhpFqEVz1KBe0E107Xdpdf7wSfXFgYbQMxVCc77D0jfKt2Qe2KyPI7yhoE7KQ2aRumEWptkIpfw==" saltValue="RRf6cSruUGleuDfhsGLt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pd1Xmdckm09Sa4afpC8OBR83VPHVsvgP3AUqNioZekR9pKXWQPKovR5PfqsxEtWOUUuUEk3p48YN0P4eHZBRg==" saltValue="F02p6+SnyDH83//LKYQE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CANGAS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3</v>
      </c>
      <c r="F10" s="452">
        <f>IF(ISNUMBER(E10/B10),E10/B10," - ")</f>
        <v>3</v>
      </c>
      <c r="G10" s="451">
        <f>IF(ISNUMBER(Datos!K10),Datos!K10," - ")</f>
        <v>3</v>
      </c>
      <c r="H10" s="452">
        <f>IF(ISNUMBER(G10/B10),G10/B10," - ")</f>
        <v>3</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1612</v>
      </c>
      <c r="D12" s="452">
        <f>IF(ISNUMBER(C12/Datos!BH12),C12/Datos!BH12," - ")</f>
        <v>537.33333333333337</v>
      </c>
      <c r="E12" s="451">
        <f>IF(ISNUMBER(IF(J_V="SI",Datos!J12,Datos!J12+Datos!Z12)),IF(J_V="SI",Datos!J12,Datos!J12+Datos!Z12)," - ")</f>
        <v>580</v>
      </c>
      <c r="F12" s="452">
        <f>IF(ISNUMBER(E12/B12),E12/B12," - ")</f>
        <v>193.33333333333334</v>
      </c>
      <c r="G12" s="451">
        <f>IF(ISNUMBER(IF(J_V="SI",Datos!K12,Datos!K12+Datos!AA12)),IF(J_V="SI",Datos!K12,Datos!K12+Datos!AA12)," - ")</f>
        <v>504</v>
      </c>
      <c r="H12" s="452">
        <f>IF(ISNUMBER(G12/B12),G12/B12," - ")</f>
        <v>168</v>
      </c>
      <c r="I12" s="451">
        <f>IF(ISNUMBER(IF(J_V="SI",Datos!L12,Datos!L12+Datos!AB12)),IF(J_V="SI",Datos!L12,Datos!L12+Datos!AB12)," - ")</f>
        <v>1688</v>
      </c>
      <c r="J12" s="452">
        <f>IF(ISNUMBER(I12/B12),I12/B12," - ")</f>
        <v>562.66666666666663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1632</v>
      </c>
      <c r="D14" s="1147" t="str">
        <f>IF(ISNUMBER(C14/Datos!BI14),C14/Datos!BI14," - ")</f>
        <v xml:space="preserve"> - </v>
      </c>
      <c r="E14" s="1146">
        <f>SUBTOTAL(9,E8:E13)</f>
        <v>583</v>
      </c>
      <c r="F14" s="1147">
        <f>IF(ISNUMBER(E14/B14),E14/B14," - ")</f>
        <v>194.33333333333334</v>
      </c>
      <c r="G14" s="1146">
        <f>SUBTOTAL(9,G8:G13)</f>
        <v>507</v>
      </c>
      <c r="H14" s="1147">
        <f>IF(ISNUMBER(G14/B14),G14/B14," - ")</f>
        <v>169</v>
      </c>
      <c r="I14" s="1146">
        <f>SUBTOTAL(9,I8:I13)</f>
        <v>1708</v>
      </c>
      <c r="J14" s="1147">
        <f>IF(ISNUMBER(I14/B14),I14/B14," - ")</f>
        <v>569.33333333333337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506</v>
      </c>
      <c r="D17" s="452">
        <f>IF(ISNUMBER(C17/Datos!BH17),C17/Datos!BH17," - ")</f>
        <v>168.66666666666666</v>
      </c>
      <c r="E17" s="451">
        <f>IF(ISNUMBER(IF(D_I="SI",Datos!J17,Datos!J17+Datos!AD17)),IF(D_I="SI",Datos!J17,Datos!J17+Datos!AD17)," - ")</f>
        <v>609</v>
      </c>
      <c r="F17" s="452">
        <f>IF(ISNUMBER(E17/B17),E17/B17," - ")</f>
        <v>203</v>
      </c>
      <c r="G17" s="451">
        <f>IF(ISNUMBER(IF(D_I="SI",Datos!K17,Datos!K17+Datos!AE17)),IF(D_I="SI",Datos!K17,Datos!K17+Datos!AE17)," - ")</f>
        <v>599</v>
      </c>
      <c r="H17" s="452">
        <f>IF(ISNUMBER(G17/B17),G17/B17," - ")</f>
        <v>199.66666666666666</v>
      </c>
      <c r="I17" s="451">
        <f>IF(ISNUMBER(IF(D_I="SI",Datos!L17,Datos!L17+Datos!AF17)),IF(D_I="SI",Datos!L17,Datos!L17+Datos!AF17)," - ")</f>
        <v>518</v>
      </c>
      <c r="J17" s="452">
        <f>IF(ISNUMBER(I17/B17),I17/B17," - ")</f>
        <v>172.66666666666666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35</v>
      </c>
      <c r="F18" s="452">
        <f>IF(ISNUMBER(E18/B18),E18/B18," - ")</f>
        <v>35</v>
      </c>
      <c r="G18" s="451">
        <f>IF(ISNUMBER(IF(D_I="SI",Datos!K18,Datos!K18+Datos!AE18)),IF(D_I="SI",Datos!K18,Datos!K18+Datos!AE18)," - ")</f>
        <v>35</v>
      </c>
      <c r="H18" s="452">
        <f>IF(ISNUMBER(G18/B18),G18/B18," - ")</f>
        <v>35</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558</v>
      </c>
      <c r="D23" s="1147" t="str">
        <f>IF(ISNUMBER(C23/Datos!BI23),C23/Datos!BI23," - ")</f>
        <v xml:space="preserve"> - </v>
      </c>
      <c r="E23" s="1146">
        <f>SUBTOTAL(9,E15:E22)</f>
        <v>644</v>
      </c>
      <c r="F23" s="1147">
        <f>IF(ISNUMBER(E23/B23),E23/B23," - ")</f>
        <v>214.66666666666666</v>
      </c>
      <c r="G23" s="1146">
        <f>SUBTOTAL(9,G15:G22)</f>
        <v>634</v>
      </c>
      <c r="H23" s="1147">
        <f>IF(ISNUMBER(G23/B23),G23/B23," - ")</f>
        <v>211.33333333333334</v>
      </c>
      <c r="I23" s="1146">
        <f>SUBTOTAL(9,I15:I22)</f>
        <v>570</v>
      </c>
      <c r="J23" s="1147">
        <f>IF(ISNUMBER(I23/B23),I23/B23," - ")</f>
        <v>190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2190</v>
      </c>
      <c r="D31" s="1085" t="str">
        <f>IF(ISNUMBER(C31/Datos!BI31),C31/Datos!BI31," - ")</f>
        <v xml:space="preserve"> - </v>
      </c>
      <c r="E31" s="1084">
        <f>SUBTOTAL(9,E9:E30)</f>
        <v>1227</v>
      </c>
      <c r="F31" s="1085">
        <f>IF(ISNUMBER(E31/B31),E31/B31," - ")</f>
        <v>409</v>
      </c>
      <c r="G31" s="1084">
        <f>SUBTOTAL(9,G9:G30)</f>
        <v>1141</v>
      </c>
      <c r="H31" s="1085">
        <f>IF(ISNUMBER(G31/B31),G31/B31," - ")</f>
        <v>380.33333333333331</v>
      </c>
      <c r="I31" s="1084">
        <f>SUBTOTAL(9,I9:I30)</f>
        <v>2278</v>
      </c>
      <c r="J31" s="1085">
        <f>IF(ISNUMBER(I31/B31),I31/B31," - ")</f>
        <v>759.33333333333337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35sBMRg7NYAAAGOgqdKtCHrCLjZtd0HHPElqWf+32MF5il7KakOH0G1OlJHRlYQECrffXEVDuYGJAzjbY7R0g==" saltValue="O9dDQjiRYKiZwDQnXf323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CANGAS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20.000000000000004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153</v>
      </c>
      <c r="AM12" s="914">
        <f>IF(ISNUMBER(Datos!N12+DatosP!N17),Datos!N12+DatosP!N17," - ")</f>
        <v>125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10.047619047619047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2.6034997865983782E-2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109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48</v>
      </c>
      <c r="AE14" s="1257">
        <f t="shared" si="1"/>
        <v>0</v>
      </c>
      <c r="AF14" s="1257">
        <f t="shared" si="1"/>
        <v>20</v>
      </c>
      <c r="AG14" s="1257">
        <f t="shared" si="1"/>
        <v>0</v>
      </c>
      <c r="AH14" s="1257">
        <f t="shared" si="1"/>
        <v>2404</v>
      </c>
      <c r="AI14" s="1257">
        <f t="shared" si="1"/>
        <v>0</v>
      </c>
      <c r="AJ14" s="1257">
        <f t="shared" si="1"/>
        <v>0</v>
      </c>
      <c r="AK14" s="1257">
        <f t="shared" si="1"/>
        <v>0</v>
      </c>
      <c r="AL14" s="1257">
        <f t="shared" si="1"/>
        <v>156</v>
      </c>
      <c r="AM14" s="1257">
        <f t="shared" si="1"/>
        <v>125</v>
      </c>
      <c r="AN14" s="1257">
        <f t="shared" si="1"/>
        <v>0</v>
      </c>
      <c r="AO14" s="1257">
        <f t="shared" si="1"/>
        <v>0</v>
      </c>
      <c r="AP14" s="1262">
        <f>IF(ISNUMBER(((Datos!L14/Datos!K14)*11)/factor_trimestre),((Datos!L14/Datos!K14)*11)/factor_trimestre," - ")</f>
        <v>10.794582392776526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v>
      </c>
      <c r="AU14" s="1257" t="str">
        <f>IF(ISNUMBER((DatosP!#REF!-DatosP!#REF!+DatosP!#REF!)/(DatosP!#REF!+DatosP!#REF!-DatosP!#REF!-DatosP!#REF!)),(DatosP!#REF!-DatosP!#REF!+DatosP!#REF!)/(DatosP!#REF!+DatosP!#REF!-DatosP!#REF!-DatosP!#REF!)," - ")</f>
        <v xml:space="preserve"> - </v>
      </c>
      <c r="AV14" s="1263">
        <f>SUBTOTAL(9,AV9:AV13)</f>
        <v>2.6034997865983782E-2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2.6971608832807572</v>
      </c>
      <c r="AQ23" s="1262">
        <f>IF(ISNUMBER(((Datos!M23/Datos!L23)*11)/factor_trimestre),((Datos!M23/Datos!L23)*11)/factor_trimestre," - ")</f>
        <v>0.4947368421052632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0.23214285714285715</v>
      </c>
      <c r="AW23" s="1265">
        <f>IF(ISNUMBER((Datos!Q23-Datos!R23)/(Datos!S23-Datos!Q23+Datos!R23)),(Datos!Q23-Datos!R23)/(Datos!S23-Datos!Q23+Datos!R23)," - ")</f>
        <v>-8.5553997194950909E-2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109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48</v>
      </c>
      <c r="AE31" s="1284">
        <f t="shared" si="9"/>
        <v>0</v>
      </c>
      <c r="AF31" s="1285">
        <f t="shared" si="9"/>
        <v>20</v>
      </c>
      <c r="AG31" s="1285">
        <f t="shared" si="9"/>
        <v>0</v>
      </c>
      <c r="AH31" s="1285">
        <f t="shared" si="9"/>
        <v>2404</v>
      </c>
      <c r="AI31" s="1285">
        <f t="shared" si="9"/>
        <v>0</v>
      </c>
      <c r="AJ31" s="1286">
        <f t="shared" si="9"/>
        <v>0</v>
      </c>
      <c r="AK31" s="1286">
        <f t="shared" si="9"/>
        <v>0</v>
      </c>
      <c r="AL31" s="1278">
        <f t="shared" si="9"/>
        <v>156</v>
      </c>
      <c r="AM31" s="1278">
        <f t="shared" si="9"/>
        <v>125</v>
      </c>
      <c r="AN31" s="1278">
        <f t="shared" si="9"/>
        <v>0</v>
      </c>
      <c r="AO31" s="1278">
        <f t="shared" si="9"/>
        <v>0</v>
      </c>
      <c r="AP31" s="1278">
        <f>IF(ISNUMBER(((Datos!L31/Datos!K31)*11)/factor_trimestre),((Datos!L31/Datos!K31)*11)/factor_trimestre," - ")</f>
        <v>6.0278551532033431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2.9752066115702479E-2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79.410326784367285</v>
      </c>
      <c r="AM33" s="1006"/>
      <c r="AN33" s="1006">
        <f>IF(ISNUMBER(STDEV(AN8:AN30)),STDEV(AN8:AN30),"-")</f>
        <v>0</v>
      </c>
      <c r="AO33" s="1012">
        <f>IF(ISNUMBER(STDEV(AO8:AO30)),STDEV(AO8:AO30),"-")</f>
        <v>0</v>
      </c>
      <c r="AP33" s="1065">
        <f>IF(ISNUMBER(STDEV(AP8:AP30)),STDEV(AP8:AP30),"-")</f>
        <v>7.09068206645704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PQWBV9hl3BvyKsvQMF6ekFXZK8veqYUVQsyeu632Pns9ntj0pCmfyAePGPUSPsnxixFqZxXd1EL9QsRPRFaJw==" saltValue="ZTriRjxdNPXVCe2y9AEZ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CANGAS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2qpNMIUqzFTANQMduiZcxw6thTrAOeyN+0c8R4VIrVyKkAj71xyGYTKEksjhc4O8cY3P5e9UlUfrakPx8sljg==" saltValue="CbyqgAUXp0pIhAn0Gs3S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CANGAS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153</v>
      </c>
      <c r="E12" s="452">
        <f t="shared" si="0"/>
        <v>51</v>
      </c>
      <c r="F12" s="451">
        <f>IF(ISNUMBER(Datos!N12),Datos!N12," - ")</f>
        <v>125</v>
      </c>
      <c r="G12" s="452">
        <f t="shared" si="1"/>
        <v>41.666666666666664</v>
      </c>
      <c r="H12" s="451">
        <f>IF(ISNUMBER(Datos!O12),Datos!O12," - ")</f>
        <v>198</v>
      </c>
      <c r="I12" s="452">
        <f t="shared" si="2"/>
        <v>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156</v>
      </c>
      <c r="E14" s="1147">
        <f t="shared" si="0"/>
        <v>39</v>
      </c>
      <c r="F14" s="1146">
        <f>SUBTOTAL(9,F9:F13)</f>
        <v>125</v>
      </c>
      <c r="G14" s="1147">
        <f t="shared" si="1"/>
        <v>31.25</v>
      </c>
      <c r="H14" s="1146">
        <f>SUBTOTAL(9,H9:H13)</f>
        <v>200</v>
      </c>
      <c r="I14" s="1147">
        <f>IF(ISNUMBER(H14/B14),H14/B14," - ")</f>
        <v>50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92</v>
      </c>
      <c r="E17" s="452">
        <f t="shared" si="3"/>
        <v>30.666666666666668</v>
      </c>
      <c r="F17" s="451">
        <f>IF(ISNUMBER(Datos!N17),Datos!N17," - ")</f>
        <v>410</v>
      </c>
      <c r="G17" s="452">
        <f t="shared" si="4"/>
        <v>136.66666666666666</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94</v>
      </c>
      <c r="E23" s="1147">
        <f t="shared" si="3"/>
        <v>23.5</v>
      </c>
      <c r="F23" s="1146">
        <f>SUBTOTAL(9,F16:F22)</f>
        <v>431</v>
      </c>
      <c r="G23" s="1147">
        <f t="shared" si="4"/>
        <v>107.75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250</v>
      </c>
      <c r="E31" s="1085">
        <f>IF(ISNUMBER(D31/B31),D31/B31," - ")</f>
        <v>83.333333333333329</v>
      </c>
      <c r="F31" s="1084">
        <f>SUBTOTAL(9,F8:F30)</f>
        <v>556</v>
      </c>
      <c r="G31" s="1085">
        <f>IF(ISNUMBER(F31/B31),F31/B31," - ")</f>
        <v>185.33333333333334</v>
      </c>
      <c r="H31" s="1084">
        <f>SUBTOTAL(9,H8:H30)</f>
        <v>200</v>
      </c>
      <c r="I31" s="1085">
        <f>IF(ISNUMBER(H31/B31),H31/B31," - ")</f>
        <v>66.666666666666671</v>
      </c>
    </row>
    <row r="34" spans="1:1">
      <c r="A34" s="439" t="str">
        <f>Criterios!A4</f>
        <v>Fecha Informe: 05 may. 2023</v>
      </c>
    </row>
    <row r="39" spans="1:1">
      <c r="A39" s="462"/>
    </row>
  </sheetData>
  <sheetProtection algorithmName="SHA-512" hashValue="jsBT6poYc/ZWIP8JTKDRQGrDjJiO4FZFK66SR7o4xDhs102JbCVeBizRxriJVurflPM3BUF6V9LVTy6qW4Qo3A==" saltValue="A7gYvjt8sRFMKYPBeUS9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CANGAS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109</v>
      </c>
      <c r="C12" s="489">
        <f>IF(ISNUMBER(Datos!Q12),Datos!Q12," - ")</f>
        <v>48</v>
      </c>
      <c r="D12" s="456">
        <f>IF(ISNUMBER(Datos!R12),Datos!R12," - ")</f>
        <v>2404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109</v>
      </c>
      <c r="C14" s="1150">
        <f>SUBTOTAL(9,C9:C13)</f>
        <v>50</v>
      </c>
      <c r="D14" s="1148">
        <f>SUBTOTAL(9,D9:D13)</f>
        <v>2423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8</v>
      </c>
      <c r="D17" s="456">
        <f>IF(ISNUMBER(Datos!R17),Datos!R17," - ")</f>
        <v>69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8</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130</v>
      </c>
      <c r="C31" s="1089">
        <f>SUBTOTAL(9,C8:C30)</f>
        <v>58</v>
      </c>
      <c r="D31" s="1090">
        <f>SUBTOTAL(9,D8:D30)</f>
        <v>2492</v>
      </c>
    </row>
    <row r="32" spans="1:4" ht="7.5" customHeight="1"/>
    <row r="33" spans="1:1" ht="6" customHeight="1"/>
    <row r="34" spans="1:1">
      <c r="A34" s="439" t="str">
        <f>Criterios!A4</f>
        <v>Fecha Informe: 05 may. 2023</v>
      </c>
    </row>
    <row r="39" spans="1:1">
      <c r="A39" s="462"/>
    </row>
  </sheetData>
  <sheetProtection algorithmName="SHA-512" hashValue="OcQFIJZxhMMdqQCMUDVBG1xoMD3xymmcij8tjk3OuBWZ1vjORvRXVxyyyspRCmW7zU1OJfPVLUNwv8DHatJfqw==" saltValue="hJRHu5a272/KRye9JDtt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CANGAS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-0.25925925925925924</v>
      </c>
      <c r="C10" s="515">
        <f>IF(ISNUMBER((Datos!J10-Datos!T10)/Datos!T10),(Datos!J10-Datos!T10)/Datos!T10," - ")</f>
        <v>2</v>
      </c>
      <c r="D10" s="515" t="str">
        <f>IF(ISNUMBER((Datos!K10-Datos!U10)/Datos!U10),(Datos!K10-Datos!U10)/Datos!U10," - ")</f>
        <v xml:space="preserve"> - </v>
      </c>
      <c r="E10" s="515">
        <f>IF(ISNUMBER((Datos!L10-Datos!V10)/Datos!V10),(Datos!L10-Datos!V10)/Datos!V10," - ")</f>
        <v>-0.2857142857142857</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-2.7744270205066344E-2</v>
      </c>
      <c r="C12" s="515">
        <f>IF(ISNUMBER(
   IF(J_V="SI",(Datos!J12-Datos!T12)/Datos!T12,(Datos!J12+Datos!Z12-(Datos!T12+Datos!AH12))/(Datos!T12+Datos!AH12))
     ),IF(J_V="SI",(Datos!J12-Datos!T12)/Datos!T12,(Datos!J12+Datos!Z12-(Datos!T12+Datos!AH12))/(Datos!T12+Datos!AH12))," - ")</f>
        <v>0.4758269720101781</v>
      </c>
      <c r="D12" s="515">
        <f>IF(ISNUMBER(
   IF(J_V="SI",(Datos!K12-Datos!U12)/Datos!U12,(Datos!K12+Datos!AA12-(Datos!U12+Datos!AI12))/(Datos!U12+Datos!AI12))
     ),IF(J_V="SI",(Datos!K12-Datos!U12)/Datos!U12,(Datos!K12+Datos!AA12-(Datos!U12+Datos!AI12))/(Datos!U12+Datos!AI12))," - ")</f>
        <v>0.24444444444444444</v>
      </c>
      <c r="E12" s="515">
        <f>IF(ISNUMBER(
   IF(J_V="SI",(Datos!L12-Datos!V12)/Datos!V12,(Datos!L12+Datos!AB12-(Datos!V12+Datos!AJ12))/(Datos!V12+Datos!AJ12))
     ),IF(J_V="SI",(Datos!L12-Datos!V12)/Datos!V12,(Datos!L12+Datos!AB12-(Datos!V12+Datos!AJ12))/(Datos!V12+Datos!AJ12))," - ")</f>
        <v>4.2618900555898703E-2</v>
      </c>
      <c r="F12" s="515">
        <f>IF(ISNUMBER((Datos!M12-Datos!W12)/Datos!W12),(Datos!M12-Datos!W12)/Datos!W12," - ")</f>
        <v>0.11678832116788321</v>
      </c>
      <c r="G12" s="516">
        <f>IF(ISNUMBER((Datos!N12-Datos!X12)/Datos!X12),(Datos!N12-Datos!X12)/Datos!X12," - ")</f>
        <v>1.6260162601626018E-2</v>
      </c>
      <c r="H12" s="514">
        <f>IF(ISNUMBER(((NºAsuntos!G12/NºAsuntos!E12)-Datos!BD12)/Datos!BD12),((NºAsuntos!G12/NºAsuntos!E12)-Datos!BD12)/Datos!BD12," - ")</f>
        <v>-0.15678160919540238</v>
      </c>
      <c r="I12" s="515">
        <f>IF(ISNUMBER(((NºAsuntos!I12/NºAsuntos!G12)-Datos!BE12)/Datos!BE12),((NºAsuntos!I12/NºAsuntos!G12)-Datos!BE12)/Datos!BE12," - ")</f>
        <v>-0.16218124062472419</v>
      </c>
      <c r="J12" s="521">
        <f>IF(ISNUMBER((('Resol  Asuntos'!D12/NºAsuntos!G12)-Datos!BF12)/Datos!BF12),(('Resol  Asuntos'!D12/NºAsuntos!G12)-Datos!BF12)/Datos!BF12," - ")</f>
        <v>-4.3554006968647056E-4</v>
      </c>
      <c r="K12" s="522">
        <f>IF(ISNUMBER((((NºAsuntos!C12+NºAsuntos!E12)/NºAsuntos!G12)-Datos!BG12)/Datos!BG12),(((NºAsuntos!C12+NºAsuntos!E12)/NºAsuntos!G12)-Datos!BG12)/Datos!BG12," - ")</f>
        <v>-0.14118548443268092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-3.1454005934718102E-2</v>
      </c>
      <c r="C14" s="1152">
        <f>IF(ISNUMBER(
   IF(J_V="SI",(Datos!J14-Datos!T14)/Datos!T14,(Datos!J14+Datos!Z14-(Datos!T14+Datos!AH14))/(Datos!T14+Datos!AH14))
     ),IF(J_V="SI",(Datos!J14-Datos!T14)/Datos!T14,(Datos!J14+Datos!Z14-(Datos!T14+Datos!AH14))/(Datos!T14+Datos!AH14))," - ")</f>
        <v>0.47969543147208121</v>
      </c>
      <c r="D14" s="1152">
        <f>IF(ISNUMBER(
   IF(J_V="SI",(Datos!K14-Datos!U14)/Datos!U14,(Datos!K14+Datos!AA14-(Datos!U14+Datos!AI14))/(Datos!U14+Datos!AI14))
     ),IF(J_V="SI",(Datos!K14-Datos!U14)/Datos!U14,(Datos!K14+Datos!AA14-(Datos!U14+Datos!AI14))/(Datos!U14+Datos!AI14))," - ")</f>
        <v>0.25185185185185183</v>
      </c>
      <c r="E14" s="1152">
        <f>IF(ISNUMBER(
   IF(J_V="SI",(Datos!L14-Datos!V14)/Datos!V14,(Datos!L14+Datos!AB14-(Datos!V14+Datos!AJ14))/(Datos!V14+Datos!AJ14))
     ),IF(J_V="SI",(Datos!L14-Datos!V14)/Datos!V14,(Datos!L14+Datos!AB14-(Datos!V14+Datos!AJ14))/(Datos!V14+Datos!AJ14))," - ")</f>
        <v>3.7037037037037035E-2</v>
      </c>
      <c r="F14" s="1153">
        <f>IF(ISNUMBER((Datos!M14-Datos!W14)/Datos!W14),(Datos!M14-Datos!W14)/Datos!W14," - ")</f>
        <v>0.13868613138686131</v>
      </c>
      <c r="G14" s="1154">
        <f>IF(ISNUMBER((Datos!N14-Datos!X14)/Datos!X14),(Datos!N14-Datos!X14)/Datos!X14," - ")</f>
        <v>1.6260162601626018E-2</v>
      </c>
      <c r="H14" s="1154">
        <f>IF(ISNUMBER(((NºAsuntos!G14/NºAsuntos!E14)-Datos!BD14)/Datos!BD14),((NºAsuntos!G14/NºAsuntos!E14)-Datos!BD14)/Datos!BD14," - ")</f>
        <v>-0.15398005209325971</v>
      </c>
      <c r="I14" s="1154">
        <f>IF(ISNUMBER(((NºAsuntos!I14/NºAsuntos!G14)-Datos!BE14)/Datos!BE14),((NºAsuntos!I14/NºAsuntos!G14)-Datos!BE14)/Datos!BE14," - ")</f>
        <v>-0.17159763313609466</v>
      </c>
      <c r="J14" s="1154">
        <f>IF(ISNUMBER((('Resol  Asuntos'!D14/NºAsuntos!G14)-Datos!BF14)/Datos!BF14),(('Resol  Asuntos'!D14/NºAsuntos!G14)-Datos!BF14)/Datos!BF14," - ")</f>
        <v>1.313320825515955E-2</v>
      </c>
      <c r="K14" s="1154">
        <f>IF(ISNUMBER((((NºAsuntos!C14+NºAsuntos!E14)/NºAsuntos!G14)-Datos!BG14)/Datos!BG14),(((NºAsuntos!C14+NºAsuntos!E14)/NºAsuntos!G14)-Datos!BG14)/Datos!BG14," - ")</f>
        <v>-0.14892799508184124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-0.15384615384615385</v>
      </c>
      <c r="C17" s="515">
        <f>IF(ISNUMBER(
   IF(D_I="SI",(Datos!J17-Datos!T17)/Datos!T17,(Datos!J17+Datos!AD17-(Datos!T17+Datos!AL17))/(Datos!T17+Datos!AL17))
     ),IF(D_I="SI",(Datos!J17-Datos!T17)/Datos!T17,(Datos!J17+Datos!AD17-(Datos!T17+Datos!AL17))/(Datos!T17+Datos!AL17))," - ")</f>
        <v>2.8716216216216218E-2</v>
      </c>
      <c r="D17" s="515">
        <f>IF(ISNUMBER(
   IF(D_I="SI",(Datos!K17-Datos!U17)/Datos!U17,(Datos!K17+Datos!AE17-(Datos!U17+Datos!AM17))/(Datos!U17+Datos!AM17))
     ),IF(D_I="SI",(Datos!K17-Datos!U17)/Datos!U17,(Datos!K17+Datos!AE17-(Datos!U17+Datos!AM17))/(Datos!U17+Datos!AM17))," - ")</f>
        <v>2.3931623931623933E-2</v>
      </c>
      <c r="E17" s="515">
        <f>IF(ISNUMBER(
   IF(D_I="SI",(Datos!L17-Datos!V17)/Datos!V17,(Datos!L17+Datos!AF17-(Datos!V17+Datos!AN17))/(Datos!V17+Datos!AN17))
     ),IF(D_I="SI",(Datos!L17-Datos!V17)/Datos!V17,(Datos!L17+Datos!AF17-(Datos!V17+Datos!AN17))/(Datos!V17+Datos!AN17))," - ")</f>
        <v>-0.14662273476112025</v>
      </c>
      <c r="F17" s="515">
        <f>IF(ISNUMBER((Datos!M17-Datos!W17)/Datos!W17),(Datos!M17-Datos!W17)/Datos!W17," - ")</f>
        <v>-9.8039215686274508E-2</v>
      </c>
      <c r="G17" s="516">
        <f>IF(ISNUMBER((Datos!N17-Datos!X17)/Datos!X17),(Datos!N17-Datos!X17)/Datos!X17," - ")</f>
        <v>0</v>
      </c>
      <c r="H17" s="514">
        <f>IF(ISNUMBER(((NºAsuntos!G17/NºAsuntos!E17)-Datos!BD17)/Datos!BD17),((NºAsuntos!G17/NºAsuntos!E17)-Datos!BD17)/Datos!BD17," - ")</f>
        <v>-4.6510322372390949E-3</v>
      </c>
      <c r="I17" s="515">
        <f>IF(ISNUMBER(((NºAsuntos!I17/NºAsuntos!G17)-Datos!BE17)/Datos!BE17),((NºAsuntos!I17/NºAsuntos!G17)-Datos!BE17)/Datos!BE17," - ")</f>
        <v>-0.16656811324750484</v>
      </c>
      <c r="J17" s="521">
        <f>IF(ISNUMBER((('Resol  Asuntos'!D17/NºAsuntos!G17)-Datos!BF17)/Datos!BF17),(('Resol  Asuntos'!D17/NºAsuntos!G17)-Datos!BF17)/Datos!BF17," - ")</f>
        <v>-0.11912010213100263</v>
      </c>
      <c r="K17" s="522">
        <f>IF(ISNUMBER((((NºAsuntos!C17+NºAsuntos!E17)/NºAsuntos!G17)-Datos!BG17)/Datos!BG17),(((NºAsuntos!C17+NºAsuntos!E17)/NºAsuntos!G17)-Datos!BG17)/Datos!BG17," - ")</f>
        <v>-8.492445392180234E-2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-3.7037037037037035E-2</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0.34615384615384615</v>
      </c>
      <c r="E18" s="515">
        <f>IF(ISNUMBER(
   IF(D_I="SI",(Datos!L18-Datos!V18)/Datos!V18,(Datos!L18+Datos!AF18-(Datos!V18+Datos!AN18))/(Datos!V18+Datos!AN18))
     ),IF(D_I="SI",(Datos!L18-Datos!V18)/Datos!V18,(Datos!L18+Datos!AF18-(Datos!V18+Datos!AN18))/(Datos!V18+Datos!AN18))," - ")</f>
        <v>-0.23529411764705882</v>
      </c>
      <c r="F18" s="515" t="str">
        <f>IF(ISNUMBER((Datos!M18-Datos!W18)/Datos!W18),(Datos!M18-Datos!W18)/Datos!W18," - ")</f>
        <v xml:space="preserve"> - </v>
      </c>
      <c r="G18" s="516">
        <f>IF(ISNUMBER((Datos!N18-Datos!X18)/Datos!X18),(Datos!N18-Datos!X18)/Datos!X18," - ")</f>
        <v>0.3125</v>
      </c>
      <c r="H18" s="514">
        <f>IF(ISNUMBER(((NºAsuntos!G18/NºAsuntos!E18)-Datos!BD18)/Datos!BD18),((NºAsuntos!G18/NºAsuntos!E18)-Datos!BD18)/Datos!BD18," - ")</f>
        <v>0.53846153846153844</v>
      </c>
      <c r="I18" s="515">
        <f>IF(ISNUMBER(((NºAsuntos!I18/NºAsuntos!G18)-Datos!BE18)/Datos!BE18),((NºAsuntos!I18/NºAsuntos!G18)-Datos!BE18)/Datos!BE18," - ")</f>
        <v>-0.43193277310924366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-0.31246200607902735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-0.14417177914110429</v>
      </c>
      <c r="C23" s="1152">
        <f>IF(ISNUMBER(
   IF(Criterios!B14="SI",(Datos!J23-Datos!T23)/Datos!T23,(Datos!J23+Datos!AD23-(Datos!T23+Datos!AL23))/(Datos!T23+Datos!AL23))
     ),IF(Criterios!B14="SI",(Datos!J23-Datos!T23)/Datos!T23,(Datos!J23+Datos!AD23-(Datos!T23+Datos!AL23))/(Datos!T23+Datos!AL23))," - ")</f>
        <v>1.8987341772151899E-2</v>
      </c>
      <c r="D23" s="1152">
        <f>IF(ISNUMBER(
   IF(Criterios!B14="SI",(Datos!K23-Datos!U23)/Datos!U23,(Datos!K23+Datos!AE23-(Datos!U23+Datos!AM23))/(Datos!U23+Datos!AM23))
     ),IF(Criterios!B14="SI",(Datos!K23-Datos!U23)/Datos!U23,(Datos!K23+Datos!AE23-(Datos!U23+Datos!AM23))/(Datos!U23+Datos!AM23))," - ")</f>
        <v>3.7643207855973811E-2</v>
      </c>
      <c r="E23" s="1152">
        <f>IF(ISNUMBER(
   IF(Criterios!B14="SI",(Datos!L23-Datos!V23)/Datos!V23,(Datos!L23+Datos!AF23-(Datos!V23+Datos!AN23))/(Datos!V23+Datos!AN23))
     ),IF(Criterios!B14="SI",(Datos!L23-Datos!V23)/Datos!V23,(Datos!L23+Datos!AF23-(Datos!V23+Datos!AN23))/(Datos!V23+Datos!AN23))," - ")</f>
        <v>-0.15555555555555556</v>
      </c>
      <c r="F23" s="1153">
        <f>IF(ISNUMBER((Datos!M23-Datos!W23)/Datos!W23),(Datos!M23-Datos!W23)/Datos!W23," - ")</f>
        <v>-7.8431372549019607E-2</v>
      </c>
      <c r="G23" s="1154">
        <f>IF(ISNUMBER((Datos!N23-Datos!X23)/Datos!X23),(Datos!N23-Datos!X23)/Datos!X23," - ")</f>
        <v>1.1737089201877934E-2</v>
      </c>
      <c r="H23" s="1154">
        <f>IF(ISNUMBER(((NºAsuntos!G23/NºAsuntos!E23)-Datos!BD23)/Datos!BD23),((NºAsuntos!G23/NºAsuntos!E23)-Datos!BD23)/Datos!BD23," - ")</f>
        <v>1.830824124996186E-2</v>
      </c>
      <c r="I23" s="1154">
        <f>IF(ISNUMBER(((NºAsuntos!I23/NºAsuntos!G23)-Datos!BE23)/Datos!BE23),((NºAsuntos!I23/NºAsuntos!G23)-Datos!BE23)/Datos!BE23," - ")</f>
        <v>-0.18618997546442342</v>
      </c>
      <c r="J23" s="1154">
        <f>IF(ISNUMBER((('Resol  Asuntos'!D23/NºAsuntos!G23)-Datos!BF23)/Datos!BF23),(('Resol  Asuntos'!D23/NºAsuntos!G23)-Datos!BF23)/Datos!BF23," - ")</f>
        <v>-0.1118636729139606</v>
      </c>
      <c r="K23" s="1154">
        <f>IF(ISNUMBER((((NºAsuntos!C23+NºAsuntos!E23)/NºAsuntos!G23)-Datos!BG23)/Datos!BG23),(((NºAsuntos!C23+NºAsuntos!E23)/NºAsuntos!G23)-Datos!BG23)/Datos!BG23," - ")</f>
        <v>-9.7823736941930306E-2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-6.290115532734275E-2</v>
      </c>
      <c r="C31" s="1092">
        <f>IF(ISNUMBER(
   IF(J_V="SI",(Datos!J31-Datos!T31)/Datos!T31,(Datos!J31+Datos!Z31-(Datos!T31+Datos!AH31))/(Datos!T31+Datos!AH31))
     ),IF(J_V="SI",(Datos!J31-Datos!T31)/Datos!T31,(Datos!J31+Datos!Z31-(Datos!T31+Datos!AH31))/(Datos!T31+Datos!AH31))," - ")</f>
        <v>0.195906432748538</v>
      </c>
      <c r="D31" s="1092">
        <f>IF(ISNUMBER(
   IF(J_V="SI",(Datos!K31-Datos!U31)/Datos!U31,(Datos!K31+Datos!AA31-(Datos!U31+Datos!AI31))/(Datos!U31+Datos!AI31))
     ),IF(J_V="SI",(Datos!K31-Datos!U31)/Datos!U31,(Datos!K31+Datos!AA31-(Datos!U31+Datos!AI31))/(Datos!U31+Datos!AI31))," - ")</f>
        <v>0.12303149606299213</v>
      </c>
      <c r="E31" s="1092">
        <f>IF(ISNUMBER(
   IF(J_V="SI",(Datos!L31-Datos!V31)/Datos!V31,(Datos!L31+Datos!AB31-(Datos!V31+Datos!AJ31))/(Datos!V31+Datos!AJ31))
     ),IF(J_V="SI",(Datos!L31-Datos!V31)/Datos!V31,(Datos!L31+Datos!AB31-(Datos!V31+Datos!AJ31))/(Datos!V31+Datos!AJ31))," - ")</f>
        <v>-1.8949181739879414E-2</v>
      </c>
      <c r="F31" s="1093">
        <f>IF(ISNUMBER((Datos!M31-Datos!W31)/Datos!W31),(Datos!M31-Datos!W31)/Datos!W31," - ")</f>
        <v>4.6025104602510462E-2</v>
      </c>
      <c r="G31" s="1094">
        <f>IF(ISNUMBER((Datos!N31-Datos!X31)/Datos!X31),(Datos!N31-Datos!X31)/Datos!X31," - ")</f>
        <v>1.2750455373406194E-2</v>
      </c>
      <c r="H31" s="1095">
        <f>IF(ISNUMBER((Tasas!B31-Datos!BD31)/Datos!BD31),(Tasas!B31-Datos!BD31)/Datos!BD31," - ")</f>
        <v>-6.0936988622143438E-2</v>
      </c>
      <c r="I31" s="1096">
        <f>IF(ISNUMBER((Tasas!C31-Datos!BE31)/Datos!BE31),(Tasas!C31-Datos!BE31)/Datos!BE31," - ")</f>
        <v>-0.12642626524778039</v>
      </c>
      <c r="J31" s="1097">
        <f>IF(ISNUMBER((Tasas!D31-Datos!BF31)/Datos!BF31),(Tasas!D31-Datos!BF31)/Datos!BF31," - ")</f>
        <v>-1.0614470737170102E-2</v>
      </c>
      <c r="K31" s="1097">
        <f>IF(ISNUMBER((Tasas!E31-Datos!BG31)/Datos!BG31),(Tasas!E31-Datos!BG31)/Datos!BG31," - ")</f>
        <v>-9.525503474814731E-2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RHdyRUL/f5qM5b0BCW5QxIxIfyDcBv2V4OlImTcQZAM533gWAyp5MwwrU0UfY2NLvixVd4NnhMS79CaY7fqig==" saltValue="oQHwpoTYUpfFxYdUB/Fd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CANGAS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6.666666666666667</v>
      </c>
      <c r="D10" s="499">
        <f>IF(ISNUMBER('Resol  Asuntos'!D10/NºAsuntos!G10),'Resol  Asuntos'!D10/NºAsuntos!G10," - ")</f>
        <v>1</v>
      </c>
      <c r="E10" s="500">
        <f>IF(ISNUMBER((NºAsuntos!C10+NºAsuntos!E10)/NºAsuntos!G10),(NºAsuntos!C10+NºAsuntos!E10)/NºAsuntos!G10," - ")</f>
        <v>7.666666666666667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0.86896551724137927</v>
      </c>
      <c r="C12" s="498">
        <f>IF(ISNUMBER(NºAsuntos!I12/NºAsuntos!G12),NºAsuntos!I12/NºAsuntos!G12," - ")</f>
        <v>3.3492063492063493</v>
      </c>
      <c r="D12" s="499">
        <f>IF(ISNUMBER('Resol  Asuntos'!D12/NºAsuntos!G12),'Resol  Asuntos'!D12/NºAsuntos!G12," - ")</f>
        <v>0.30357142857142855</v>
      </c>
      <c r="E12" s="500">
        <f>IF(ISNUMBER((NºAsuntos!C12+NºAsuntos!E12)/NºAsuntos!G12),(NºAsuntos!C12+NºAsuntos!E12)/NºAsuntos!G12," - ")</f>
        <v>4.3492063492063489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0.869639794168096</v>
      </c>
      <c r="C14" s="1156">
        <f>IF(ISNUMBER(NºAsuntos!I14/NºAsuntos!G14),NºAsuntos!I14/NºAsuntos!G14," - ")</f>
        <v>3.3688362919132149</v>
      </c>
      <c r="D14" s="1157">
        <f>IF(ISNUMBER('Resol  Asuntos'!D14/NºAsuntos!G14),'Resol  Asuntos'!D14/NºAsuntos!G14," - ")</f>
        <v>0.30769230769230771</v>
      </c>
      <c r="E14" s="1158">
        <f>IF(ISNUMBER((NºAsuntos!C14+NºAsuntos!E14)/NºAsuntos!G14),(NºAsuntos!C14+NºAsuntos!E14)/NºAsuntos!G14," - ")</f>
        <v>4.3688362919132153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0.98357963875205257</v>
      </c>
      <c r="C17" s="498">
        <f>IF(ISNUMBER(NºAsuntos!I17/NºAsuntos!G17),NºAsuntos!I17/NºAsuntos!G17," - ")</f>
        <v>0.86477462437395658</v>
      </c>
      <c r="D17" s="499">
        <f>IF(ISNUMBER('Resol  Asuntos'!D17/NºAsuntos!G17),'Resol  Asuntos'!D17/NºAsuntos!G17," - ")</f>
        <v>0.15358931552587646</v>
      </c>
      <c r="E17" s="500">
        <f>IF(ISNUMBER((NºAsuntos!C17+NºAsuntos!E17)/NºAsuntos!G17),(NºAsuntos!C17+NºAsuntos!E17)/NºAsuntos!G17," - ")</f>
        <v>1.8614357262103507</v>
      </c>
      <c r="G17" s="523"/>
    </row>
    <row r="18" spans="1:7">
      <c r="A18" s="450" t="str">
        <f>Datos!A18</f>
        <v>Jdos. Violencia contra la mujer</v>
      </c>
      <c r="B18" s="497">
        <f>IF(ISNUMBER(NºAsuntos!G18/NºAsuntos!E18),NºAsuntos!G18/NºAsuntos!E18," - ")</f>
        <v>1</v>
      </c>
      <c r="C18" s="498">
        <f>IF(ISNUMBER(NºAsuntos!I18/NºAsuntos!G18),NºAsuntos!I18/NºAsuntos!G18," - ")</f>
        <v>1.4857142857142858</v>
      </c>
      <c r="D18" s="499">
        <f>IF(ISNUMBER('Resol  Asuntos'!D18/NºAsuntos!G18),'Resol  Asuntos'!D18/NºAsuntos!G18," - ")</f>
        <v>5.7142857142857141E-2</v>
      </c>
      <c r="E18" s="500">
        <f>IF(ISNUMBER((NºAsuntos!C18+NºAsuntos!E18)/NºAsuntos!G18),(NºAsuntos!C18+NºAsuntos!E18)/NºAsuntos!G18," - ")</f>
        <v>2.4857142857142858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0.98447204968944102</v>
      </c>
      <c r="C23" s="1156">
        <f>IF(ISNUMBER(NºAsuntos!I23/NºAsuntos!G23),NºAsuntos!I23/NºAsuntos!G23," - ")</f>
        <v>0.89905362776025233</v>
      </c>
      <c r="D23" s="1159">
        <f>IF(ISNUMBER('Resol  Asuntos'!D23/NºAsuntos!G23),'Resol  Asuntos'!D23/NºAsuntos!G23," - ")</f>
        <v>0.14826498422712933</v>
      </c>
      <c r="E23" s="1158">
        <f>IF(ISNUMBER((NºAsuntos!C23+NºAsuntos!E23)/NºAsuntos!G23),(NºAsuntos!C23+NºAsuntos!E23)/NºAsuntos!G23," - ")</f>
        <v>1.8958990536277602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0.92991035044824777</v>
      </c>
      <c r="C31" s="1099">
        <f>IF(ISNUMBER(NºAsuntos!I31/NºAsuntos!G31),NºAsuntos!I31/NºAsuntos!G31," - ")</f>
        <v>1.9964943032427696</v>
      </c>
      <c r="D31" s="1100">
        <f>IF(ISNUMBER('Resol  Asuntos'!D31/NºAsuntos!G31),'Resol  Asuntos'!D31/NºAsuntos!G31," - ")</f>
        <v>0.21910604732690622</v>
      </c>
      <c r="E31" s="1101">
        <f>IF(ISNUMBER((NºAsuntos!C31+NºAsuntos!E31)/NºAsuntos!G31),(NºAsuntos!C31+NºAsuntos!E31)/NºAsuntos!G31," - ")</f>
        <v>2.9947414548641542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uS5109KleXIDi7Evfr1/LzM0QKjqDtieXM+sSwE9/fr1nYse8JQ1EdvPxqRzanfKqlj6SnfU29TAQavw8hNgA==" saltValue="9B0bubsexo6pRFA+fBuz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CANGAS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2</v>
      </c>
      <c r="Y10" s="374">
        <f t="shared" ref="Y10:Y13" si="0">SUM(W10:X10)</f>
        <v>5</v>
      </c>
      <c r="Z10" s="375" t="str">
        <f>IF(ISNUMBER(Datos!CC10),Datos!CC10," - ")</f>
        <v xml:space="preserve"> - </v>
      </c>
      <c r="AA10" s="372">
        <f>IF(ISNUMBER(Datos!L10),Datos!L10,"-")</f>
        <v>20</v>
      </c>
      <c r="AB10" s="374">
        <f>IF(ISNUMBER(Datos!R10),Datos!R10," - ")</f>
        <v>19</v>
      </c>
      <c r="AC10" s="374">
        <f t="shared" ref="AC10:AC13" si="1">IF(ISNUMBER(AA10+AB10),AA10+AB10," - ")</f>
        <v>39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20.000000000000004</v>
      </c>
      <c r="AN10" s="267">
        <f>IF(ISNUMBER('Resol  Asuntos'!D10/NºAsuntos!G10),'Resol  Asuntos'!D10/NºAsuntos!G10," - ")</f>
        <v>1</v>
      </c>
      <c r="AO10" s="268">
        <f>IF(ISNUMBER((NºAsuntos!C10+NºAsuntos!E10)/NºAsuntos!G10),(NºAsuntos!C10+NºAsuntos!E10)/NºAsuntos!G10," - ")</f>
        <v>7.666666666666667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153</v>
      </c>
      <c r="AJ12" s="243" t="str">
        <f>IF(ISNUMBER(Datos!BW12),Datos!BW12," - ")</f>
        <v xml:space="preserve"> - </v>
      </c>
      <c r="AK12" s="242" t="str">
        <f>IF(ISNUMBER(Datos!BX12),Datos!BX12," - ")</f>
        <v xml:space="preserve"> - </v>
      </c>
      <c r="AL12" s="266">
        <f>IF(ISNUMBER(NºAsuntos!G12/NºAsuntos!E12),NºAsuntos!G12/NºAsuntos!E12," - ")</f>
        <v>0.86896551724137927</v>
      </c>
      <c r="AM12" s="284">
        <f>IF(ISNUMBER(((NºAsuntos!I12/NºAsuntos!G12)*11)/factor_trimestre),((NºAsuntos!I12/NºAsuntos!G12)*11)/factor_trimestre," - ")</f>
        <v>10.047619047619047</v>
      </c>
      <c r="AN12" s="267">
        <f>IF(ISNUMBER('Resol  Asuntos'!D12/NºAsuntos!G12),'Resol  Asuntos'!D12/NºAsuntos!G12," - ")</f>
        <v>0.30357142857142855</v>
      </c>
      <c r="AO12" s="268">
        <f>IF(ISNUMBER((NºAsuntos!C12+NºAsuntos!E12)/NºAsuntos!G12),(NºAsuntos!C12+NºAsuntos!E12)/NºAsuntos!G12," - ")</f>
        <v>4.3492063492063489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20</v>
      </c>
      <c r="G14" s="1163">
        <f t="shared" si="5"/>
        <v>20</v>
      </c>
      <c r="H14" s="1162">
        <f t="shared" si="5"/>
        <v>0</v>
      </c>
      <c r="I14" s="1164">
        <f t="shared" si="5"/>
        <v>0</v>
      </c>
      <c r="J14" s="1164">
        <f t="shared" si="5"/>
        <v>0</v>
      </c>
      <c r="K14" s="1164">
        <f t="shared" si="5"/>
        <v>0</v>
      </c>
      <c r="L14" s="1164">
        <f t="shared" si="5"/>
        <v>109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50</v>
      </c>
      <c r="Y14" s="1165">
        <f t="shared" si="6"/>
        <v>53</v>
      </c>
      <c r="Z14" s="1165">
        <f t="shared" si="6"/>
        <v>0</v>
      </c>
      <c r="AA14" s="1165">
        <f t="shared" si="6"/>
        <v>20</v>
      </c>
      <c r="AB14" s="1165">
        <f t="shared" si="6"/>
        <v>2423</v>
      </c>
      <c r="AC14" s="1165">
        <f t="shared" si="6"/>
        <v>39</v>
      </c>
      <c r="AD14" s="1165">
        <f t="shared" si="6"/>
        <v>0</v>
      </c>
      <c r="AE14" s="1169">
        <f t="shared" si="6"/>
        <v>0</v>
      </c>
      <c r="AF14" s="1162">
        <f t="shared" si="6"/>
        <v>0</v>
      </c>
      <c r="AG14" s="1170">
        <f t="shared" si="6"/>
        <v>0</v>
      </c>
      <c r="AH14" s="1167">
        <f t="shared" si="6"/>
        <v>0</v>
      </c>
      <c r="AI14" s="1162">
        <f t="shared" si="6"/>
        <v>156</v>
      </c>
      <c r="AJ14" s="1164">
        <f t="shared" si="6"/>
        <v>0</v>
      </c>
      <c r="AK14" s="1167">
        <f>SUBTOTAL(9,AK9:AK13)</f>
        <v>0</v>
      </c>
      <c r="AL14" s="1171">
        <f>IF(ISNUMBER(NºAsuntos!G14/NºAsuntos!E14),NºAsuntos!G14/NºAsuntos!E14," - ")</f>
        <v>0.869639794168096</v>
      </c>
      <c r="AM14" s="1171">
        <f>IF(ISNUMBER(((NºAsuntos!I14/NºAsuntos!G14)*11)/factor_trimestre),((NºAsuntos!I14/NºAsuntos!G14)*11)/factor_trimestre," - ")</f>
        <v>10.106508875739646</v>
      </c>
      <c r="AN14" s="1172">
        <f>IF(ISNUMBER('Resol  Asuntos'!D14/NºAsuntos!G14),'Resol  Asuntos'!D14/NºAsuntos!G14," - ")</f>
        <v>0.30769230769230771</v>
      </c>
      <c r="AO14" s="1173">
        <f>IF(ISNUMBER((NºAsuntos!C14+NºAsuntos!E14)/NºAsuntos!G14),(NºAsuntos!C14+NºAsuntos!E14)/NºAsuntos!G14," - ")</f>
        <v>4.3688362919132153</v>
      </c>
      <c r="AP14" s="1174" t="str">
        <f t="shared" si="2"/>
        <v xml:space="preserve"> - </v>
      </c>
      <c r="AQ14" s="1174">
        <f>IF(ISNUMBER((H14-W14+K14)/(F14)),(H14-W14+K14)/(F14)," - ")</f>
        <v>-0.15</v>
      </c>
      <c r="AR14" s="1175">
        <f>IF(ISNUMBER((Datos!P14-Datos!Q14)/(Datos!R14-Datos!P14+Datos!Q14)),(Datos!P14-Datos!Q14)/(Datos!R14-Datos!P14+Datos!Q14)," - ")</f>
        <v>2.4957698815566837E-2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508</v>
      </c>
      <c r="G17" s="373">
        <f>IF(ISNUMBER(IF(D_I="SI",Datos!I17,Datos!I17+Datos!AC17)),IF(D_I="SI",Datos!I17,Datos!I17+Datos!AC17)," - ")</f>
        <v>506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599</v>
      </c>
      <c r="X17" s="240">
        <f>IF(ISNUMBER(Datos!Q17),Datos!Q17," - ")</f>
        <v>8</v>
      </c>
      <c r="Y17" s="374">
        <f t="shared" ref="Y17:Y22" si="9">SUM(W17:X17)</f>
        <v>607</v>
      </c>
      <c r="Z17" s="375" t="str">
        <f>IF(ISNUMBER(Datos!CC17),Datos!CC17," - ")</f>
        <v xml:space="preserve"> - </v>
      </c>
      <c r="AA17" s="372">
        <f>IF(ISNUMBER(IF(D_I="SI",Datos!L17,Datos!L17+Datos!AF17)),IF(D_I="SI",Datos!L17,Datos!L17+Datos!AF17)," - ")</f>
        <v>518</v>
      </c>
      <c r="AB17" s="374">
        <f>IF(ISNUMBER(Datos!R17),Datos!R17," - ")</f>
        <v>69</v>
      </c>
      <c r="AC17" s="374">
        <f t="shared" si="8"/>
        <v>587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92</v>
      </c>
      <c r="AJ17" s="245" t="str">
        <f>IF(ISNUMBER(Datos!BW17),Datos!BW17," - ")</f>
        <v xml:space="preserve"> - </v>
      </c>
      <c r="AK17" s="246" t="str">
        <f>IF(ISNUMBER(Datos!BX17),Datos!BX17," - ")</f>
        <v xml:space="preserve"> - </v>
      </c>
      <c r="AL17" s="266">
        <f>IF(ISNUMBER(NºAsuntos!G17/NºAsuntos!E17),NºAsuntos!G17/NºAsuntos!E17," - ")</f>
        <v>0.98357963875205257</v>
      </c>
      <c r="AM17" s="284">
        <f>IF(ISNUMBER(((NºAsuntos!I17/NºAsuntos!G17)*11)/factor_trimestre),((NºAsuntos!I17/NºAsuntos!G17)*11)/factor_trimestre," - ")</f>
        <v>2.5943238731218701</v>
      </c>
      <c r="AN17" s="267">
        <f>IF(ISNUMBER('Resol  Asuntos'!D17/NºAsuntos!G17),'Resol  Asuntos'!D17/NºAsuntos!G17," - ")</f>
        <v>0.15358931552587646</v>
      </c>
      <c r="AO17" s="268">
        <f>IF(ISNUMBER((NºAsuntos!C17+NºAsuntos!E17)/NºAsuntos!G17),(NºAsuntos!C17+NºAsuntos!E17)/NºAsuntos!G17," - ")</f>
        <v>1.8614357262103507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52</v>
      </c>
      <c r="AB18" s="374">
        <f>IF(ISNUMBER(Datos!R18),Datos!R18," - ")</f>
        <v>0</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4.4571428571428573</v>
      </c>
      <c r="AN18" s="267">
        <f>IF(ISNUMBER('Resol  Asuntos'!D18/NºAsuntos!G18),'Resol  Asuntos'!D18/NºAsuntos!G18," - ")</f>
        <v>5.7142857142857141E-2</v>
      </c>
      <c r="AO18" s="268">
        <f>IF(ISNUMBER((NºAsuntos!C18+NºAsuntos!E18)/NºAsuntos!G18),(NºAsuntos!C18+NºAsuntos!E18)/NºAsuntos!G18," - ")</f>
        <v>2.4857142857142858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508</v>
      </c>
      <c r="G23" s="1163">
        <f>SUBTOTAL(9,G16:G22)</f>
        <v>558</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634</v>
      </c>
      <c r="X23" s="1164">
        <f t="shared" si="14"/>
        <v>8</v>
      </c>
      <c r="Y23" s="1165">
        <f t="shared" si="14"/>
        <v>642</v>
      </c>
      <c r="Z23" s="1165">
        <f t="shared" si="14"/>
        <v>0</v>
      </c>
      <c r="AA23" s="1165">
        <f t="shared" si="14"/>
        <v>570</v>
      </c>
      <c r="AB23" s="1165">
        <f t="shared" si="14"/>
        <v>69</v>
      </c>
      <c r="AC23" s="1165">
        <f t="shared" si="14"/>
        <v>639</v>
      </c>
      <c r="AD23" s="1165">
        <f t="shared" si="14"/>
        <v>0</v>
      </c>
      <c r="AE23" s="1169">
        <f t="shared" si="14"/>
        <v>0</v>
      </c>
      <c r="AF23" s="1162">
        <f t="shared" si="14"/>
        <v>0</v>
      </c>
      <c r="AG23" s="1170">
        <f t="shared" si="14"/>
        <v>0</v>
      </c>
      <c r="AH23" s="1167">
        <f t="shared" si="14"/>
        <v>0</v>
      </c>
      <c r="AI23" s="1162">
        <f t="shared" si="14"/>
        <v>94</v>
      </c>
      <c r="AJ23" s="1164">
        <f t="shared" si="14"/>
        <v>0</v>
      </c>
      <c r="AK23" s="1167">
        <f t="shared" si="14"/>
        <v>0</v>
      </c>
      <c r="AL23" s="1171">
        <f>IF(ISNUMBER(NºAsuntos!G23/NºAsuntos!E23),NºAsuntos!G23/NºAsuntos!E23," - ")</f>
        <v>0.98447204968944102</v>
      </c>
      <c r="AM23" s="1171">
        <f>IF(ISNUMBER(((NºAsuntos!I23/NºAsuntos!G23)*11)/factor_trimestre),((NºAsuntos!I23/NºAsuntos!G23)*11)/factor_trimestre," - ")</f>
        <v>2.6971608832807572</v>
      </c>
      <c r="AN23" s="1172">
        <f>IF(ISNUMBER('Resol  Asuntos'!D23/NºAsuntos!G23),'Resol  Asuntos'!D23/NºAsuntos!G23," - ")</f>
        <v>0.14826498422712933</v>
      </c>
      <c r="AO23" s="1173">
        <f>IF(ISNUMBER((NºAsuntos!C23+NºAsuntos!E23)/NºAsuntos!G23),(NºAsuntos!C23+NºAsuntos!E23)/NºAsuntos!G23," - ")</f>
        <v>1.8958990536277602</v>
      </c>
      <c r="AP23" s="1174" t="str">
        <f t="shared" si="2"/>
        <v xml:space="preserve"> - </v>
      </c>
      <c r="AQ23" s="1174">
        <f>IF(ISNUMBER((H23-W23+K23)/(F23)),(H23-W23+K23)/(F23)," - ")</f>
        <v>-1.2480314960629921</v>
      </c>
      <c r="AR23" s="1175">
        <f>IF(ISNUMBER((Datos!P23-Datos!Q23)/(Datos!R23-Datos!P23+Datos!Q23)),(Datos!P23-Datos!Q23)/(Datos!R23-Datos!P23+Datos!Q23)," - ")</f>
        <v>0.23214285714285715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528</v>
      </c>
      <c r="G31" s="1118">
        <f t="shared" si="20"/>
        <v>578</v>
      </c>
      <c r="H31" s="1117">
        <f t="shared" si="20"/>
        <v>0</v>
      </c>
      <c r="I31" s="1119">
        <f t="shared" si="20"/>
        <v>0</v>
      </c>
      <c r="J31" s="1119">
        <f t="shared" si="20"/>
        <v>0</v>
      </c>
      <c r="K31" s="1180">
        <f t="shared" si="20"/>
        <v>0</v>
      </c>
      <c r="L31" s="1119">
        <f t="shared" si="20"/>
        <v>130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637</v>
      </c>
      <c r="X31" s="1118">
        <f t="shared" si="21"/>
        <v>58</v>
      </c>
      <c r="Y31" s="1125">
        <f t="shared" si="21"/>
        <v>695</v>
      </c>
      <c r="Z31" s="1125">
        <f t="shared" si="21"/>
        <v>0</v>
      </c>
      <c r="AA31" s="1125">
        <f t="shared" si="21"/>
        <v>590</v>
      </c>
      <c r="AB31" s="1125">
        <f t="shared" si="21"/>
        <v>2492</v>
      </c>
      <c r="AC31" s="1125">
        <f t="shared" si="21"/>
        <v>678</v>
      </c>
      <c r="AD31" s="1125">
        <f t="shared" si="21"/>
        <v>0</v>
      </c>
      <c r="AE31" s="1127">
        <f t="shared" si="21"/>
        <v>0</v>
      </c>
      <c r="AF31" s="1128">
        <f t="shared" si="21"/>
        <v>0</v>
      </c>
      <c r="AG31" s="1129">
        <f t="shared" si="21"/>
        <v>0</v>
      </c>
      <c r="AH31" s="1127">
        <f t="shared" si="21"/>
        <v>0</v>
      </c>
      <c r="AI31" s="1117">
        <f t="shared" si="21"/>
        <v>250</v>
      </c>
      <c r="AJ31" s="1117">
        <f t="shared" si="21"/>
        <v>0</v>
      </c>
      <c r="AK31" s="1127">
        <f t="shared" si="21"/>
        <v>0</v>
      </c>
      <c r="AL31" s="1183">
        <f>IF(ISNUMBER(NºAsuntos!G31/NºAsuntos!E31),NºAsuntos!G31/NºAsuntos!E31," - ")</f>
        <v>0.92991035044824777</v>
      </c>
      <c r="AM31" s="1184">
        <f>IF(ISNUMBER(((NºAsuntos!I31/NºAsuntos!G31)*11)/factor_trimestre),((NºAsuntos!I31/NºAsuntos!G31)*11)/factor_trimestre," - ")</f>
        <v>5.9894829097283084</v>
      </c>
      <c r="AN31" s="1184">
        <f>IF(ISNUMBER('Resol  Asuntos'!D31/NºAsuntos!G31),'Resol  Asuntos'!D31/NºAsuntos!G31," - ")</f>
        <v>0.21910604732690622</v>
      </c>
      <c r="AO31" s="1185">
        <f>IF(ISNUMBER((NºAsuntos!C31+NºAsuntos!E31)/NºAsuntos!G31),(NºAsuntos!C31+NºAsuntos!E31)/NºAsuntos!G31," - ")</f>
        <v>2.9947414548641542</v>
      </c>
      <c r="AP31" s="1186" t="str">
        <f t="shared" si="2"/>
        <v xml:space="preserve"> - </v>
      </c>
      <c r="AQ31" s="1187">
        <f>IF(OR(ISNUMBER(FIND("01",Criterios!A8,1)),ISNUMBER(FIND("02",Criterios!A8,1)),ISNUMBER(FIND("03",Criterios!A8,1)),ISNUMBER(FIND("04",Criterios!A8,1))),(I31-W31+K31)/(F31-K31),(H31-W31+K31)/(F31-K31))</f>
        <v>-1.206439393939394</v>
      </c>
      <c r="AR31" s="1188">
        <f>IF(ISNUMBER((Datos!P31-Datos!Q31)/(Datos!R31-Datos!P31+Datos!Q31)),(Datos!P31-Datos!Q31)/(Datos!R31-Datos!P31+Datos!Q31)," - ")</f>
        <v>2.9752066115702479E-2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257.32158867844726</v>
      </c>
      <c r="G33" s="277">
        <f>IF(ISNUMBER(STDEV(G8:G30)),STDEV(G8:G30),"-")</f>
        <v>251.66076940425748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297.24625032678432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69.496145833522917</v>
      </c>
      <c r="AJ33" s="276">
        <f t="shared" si="25"/>
        <v>0</v>
      </c>
      <c r="AK33" s="278">
        <f t="shared" si="25"/>
        <v>0</v>
      </c>
      <c r="AL33" s="273">
        <f t="shared" si="25"/>
        <v>6.376970830205124E-2</v>
      </c>
      <c r="AM33" s="274">
        <f t="shared" si="25"/>
        <v>6.6621315526400036</v>
      </c>
      <c r="AN33" s="274">
        <f t="shared" si="25"/>
        <v>0.34312669966634746</v>
      </c>
      <c r="AO33" s="275">
        <f t="shared" si="25"/>
        <v>2.221816721461193</v>
      </c>
      <c r="AP33" s="317" t="str">
        <f t="shared" si="25"/>
        <v>-</v>
      </c>
      <c r="AQ33" s="318">
        <f t="shared" si="25"/>
        <v>0.77642551682255168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jP1lH9Pf1c4t2GY8HqUQwA0EYgBgEEGiyOqTXFa9CLZ9srTdYWSVwEeEwiHXy8KHRdi/Rf1ChFTgwvtm1Bj/Q==" saltValue="mFueaOs5ahXsmh3KrsTB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CANGAS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-0.25925925925925924</v>
      </c>
      <c r="E10" s="393">
        <f>IF(ISNUMBER((Datos!J10-Datos!T10)/Datos!T10),(Datos!J10-Datos!T10)/Datos!T10," - ")</f>
        <v>2</v>
      </c>
      <c r="F10" s="393" t="str">
        <f>IF(ISNUMBER((Datos!K10-Datos!U10)/Datos!U10),(Datos!K10-Datos!U10)/Datos!U10," - ")</f>
        <v xml:space="preserve"> - </v>
      </c>
      <c r="G10" s="394">
        <f>IF(ISNUMBER((Datos!L10-Datos!V10)/Datos!V10),(Datos!L10-Datos!V10)/Datos!V10," - ")</f>
        <v>-0.2857142857142857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0.11678832116788321</v>
      </c>
      <c r="I12" s="395">
        <f>IF(ISNUMBER((Tasas!C12-Datos!BE12)/Datos!BE12),(Tasas!C12-Datos!BE12)/Datos!BE12," - ")</f>
        <v>-0.16218124062472419</v>
      </c>
      <c r="J12" s="394">
        <f>IF(ISNUMBER((Tasas!D12-Datos!BF12)/Datos!BF12),(Tasas!D12-Datos!BF12)/Datos!BF12," - ")</f>
        <v>-4.3554006968647056E-4</v>
      </c>
      <c r="K12" s="396">
        <f>IF(ISNUMBER((Tasas!E12-Datos!BG12)/Datos!BG12),(Tasas!E12-Datos!BG12)/Datos!BG12," - ")</f>
        <v>-0.14118548443268092</v>
      </c>
      <c r="M12" t="e">
        <f>IF(Monitorios="SI",Datos!CE12,0)</f>
        <v>#REF!</v>
      </c>
      <c r="N12" t="e">
        <f>IF(Monitorios="SI",Datos!CF12,0)</f>
        <v>#REF!</v>
      </c>
      <c r="O12" t="e">
        <f>IF(Monitorios="SI",Datos!CG12,0)</f>
        <v>#REF!</v>
      </c>
      <c r="P12" t="e">
        <f>IF(Monitorios="SI",Datos!CH12,0)</f>
        <v>#REF!</v>
      </c>
      <c r="Q12">
        <f>IF(J_V="SI",0,Datos!AG12)</f>
        <v>136</v>
      </c>
      <c r="R12">
        <f>IF(J_V="SI",0,Datos!AH12)</f>
        <v>45</v>
      </c>
      <c r="S12">
        <f>IF(J_V="SI",0,Datos!AI12)</f>
        <v>59</v>
      </c>
      <c r="T12">
        <f>IF(J_V="SI",0,Datos!AJ12)</f>
        <v>122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0.13868613138686131</v>
      </c>
      <c r="I14" s="402">
        <f>IF(ISNUMBER((Tasas!C14-Datos!BE14)/Datos!BE14),(Tasas!C14-Datos!BE14)/Datos!BE14," - ")</f>
        <v>-0.17159763313609466</v>
      </c>
      <c r="J14" s="400">
        <f>IF(ISNUMBER((Tasas!D14-Datos!BF14)/Datos!BF14),(Tasas!D14-Datos!BF14)/Datos!BF14," - ")</f>
        <v>1.313320825515955E-2</v>
      </c>
      <c r="K14" s="403">
        <f>IF(ISNUMBER((Tasas!E14-Datos!BG14)/Datos!BG14),(Tasas!E14-Datos!BG14)/Datos!BG14," - ")</f>
        <v>-0.14892799508184124</v>
      </c>
      <c r="M14" t="e">
        <f>IF(Monitorios="SI",Datos!CE14,0)</f>
        <v>#REF!</v>
      </c>
      <c r="N14" t="e">
        <f>IF(Monitorios="SI",Datos!CF14,0)</f>
        <v>#REF!</v>
      </c>
      <c r="O14" t="e">
        <f>IF(Monitorios="SI",Datos!CG14,0)</f>
        <v>#REF!</v>
      </c>
      <c r="P14" t="e">
        <f>IF(Monitorios="SI",Datos!CH14,0)</f>
        <v>#REF!</v>
      </c>
      <c r="Q14">
        <f>IF(J_V="SI",0,Datos!AG14)</f>
        <v>136</v>
      </c>
      <c r="R14">
        <f>IF(J_V="SI",0,Datos!AH14)</f>
        <v>45</v>
      </c>
      <c r="S14">
        <f>IF(J_V="SI",0,Datos!AI14)</f>
        <v>59</v>
      </c>
      <c r="T14">
        <f>IF(J_V="SI",0,Datos!AJ14)</f>
        <v>122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-0.15384615384615385</v>
      </c>
      <c r="E17" s="393">
        <f>IF(ISNUMBER(
   IF(D_I="SI",(Datos!J17-Datos!T17)/Datos!T17,(Datos!J17+Datos!AD17-(Datos!T17+Datos!AL17))/(Datos!T17+Datos!AL17))
     ),IF(D_I="SI",(Datos!J17-Datos!T17)/Datos!T17,(Datos!J17+Datos!AD17-(Datos!T17+Datos!AL17))/(Datos!T17+Datos!AL17))," - ")</f>
        <v>2.8716216216216218E-2</v>
      </c>
      <c r="F17" s="393">
        <f>IF(ISNUMBER(
   IF(D_I="SI",(Datos!K17-Datos!U17)/Datos!U17,(Datos!K17+Datos!AE17-(Datos!U17+Datos!AM17))/(Datos!U17+Datos!AM17))
     ),IF(D_I="SI",(Datos!K17-Datos!U17)/Datos!U17,(Datos!K17+Datos!AE17-(Datos!U17+Datos!AM17))/(Datos!U17+Datos!AM17))," - ")</f>
        <v>2.3931623931623933E-2</v>
      </c>
      <c r="G17" s="394">
        <f>IF(ISNUMBER(
   IF(D_I="SI",(Datos!L17-Datos!V17)/Datos!V17,(Datos!L17+Datos!AF17-(Datos!V17+Datos!AN17))/(Datos!V17+Datos!AN17))
     ),IF(D_I="SI",(Datos!L17-Datos!V17)/Datos!V17,(Datos!L17+Datos!AF17-(Datos!V17+Datos!AN17))/(Datos!V17+Datos!AN17))," - ")</f>
        <v>-0.14662273476112025</v>
      </c>
      <c r="H17" s="244">
        <f>IF(ISNUMBER((Datos!M17-Datos!W17)/Datos!W17),(Datos!M17-Datos!W17)/Datos!W17," - ")</f>
        <v>-9.8039215686274508E-2</v>
      </c>
      <c r="I17" s="395">
        <f>IF(ISNUMBER((Tasas!C17-Datos!BE17)/Datos!BE17),(Tasas!C17-Datos!BE17)/Datos!BE17," - ")</f>
        <v>-0.16656811324750484</v>
      </c>
      <c r="J17" s="394">
        <f>IF(ISNUMBER((Tasas!D17-Datos!BF17)/Datos!BF17),(Tasas!D17-Datos!BF17)/Datos!BF17," - ")</f>
        <v>-0.11912010213100263</v>
      </c>
      <c r="K17" s="396">
        <f>IF(ISNUMBER((Tasas!E17-Datos!BG17)/Datos!BG17),(Tasas!E17-Datos!BG17)/Datos!BG17," - ")</f>
        <v>-8.492445392180234E-2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-3.7037037037037035E-2</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0.34615384615384615</v>
      </c>
      <c r="G18" s="394">
        <f>IF(ISNUMBER(
   IF(D_I="SI",(Datos!L18-Datos!V18)/Datos!V18,(Datos!L18+Datos!AF18-(Datos!V18+Datos!AN18))/(Datos!V18+Datos!AN18))
     ),IF(D_I="SI",(Datos!L18-Datos!V18)/Datos!V18,(Datos!L18+Datos!AF18-(Datos!V18+Datos!AN18))/(Datos!V18+Datos!AN18))," - ")</f>
        <v>-0.23529411764705882</v>
      </c>
      <c r="H18" s="244" t="str">
        <f>IF(ISNUMBER((Datos!M18-Datos!W18)/Datos!W18),(Datos!M18-Datos!W18)/Datos!W18," - ")</f>
        <v xml:space="preserve"> - </v>
      </c>
      <c r="I18" s="395">
        <f>IF(ISNUMBER((Tasas!C18-Datos!BE18)/Datos!BE18),(Tasas!C18-Datos!BE18)/Datos!BE18," - ")</f>
        <v>-0.43193277310924366</v>
      </c>
      <c r="J18" s="394" t="str">
        <f>IF(ISNUMBER((Tasas!D18-Datos!BF18)/Datos!BF18),(Tasas!D18-Datos!BF18)/Datos!BF18," - ")</f>
        <v xml:space="preserve"> - </v>
      </c>
      <c r="K18" s="396">
        <f>IF(ISNUMBER((Tasas!E18-Datos!BG18)/Datos!BG18),(Tasas!E18-Datos!BG18)/Datos!BG18," - ")</f>
        <v>-0.31246200607902735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-0.14417177914110429</v>
      </c>
      <c r="E23" s="399">
        <f>IF(ISNUMBER(
   IF(D_I="SI",(Datos!J23-Datos!T23)/Datos!T23,(Datos!J23+Datos!AD23-(Datos!T23+Datos!AL23))/(Datos!T23+Datos!AL23))
     ),IF(D_I="SI",(Datos!J23-Datos!T23)/Datos!T23,(Datos!J23+Datos!AD23-(Datos!T23+Datos!AL23))/(Datos!T23+Datos!AL23))," - ")</f>
        <v>1.8987341772151899E-2</v>
      </c>
      <c r="F23" s="399">
        <f>IF(ISNUMBER(
   IF(D_I="SI",(Datos!K23-Datos!U23)/Datos!U23,(Datos!K23+Datos!AE23-(Datos!U23+Datos!AM23))/(Datos!U23+Datos!AM23))
     ),IF(D_I="SI",(Datos!K23-Datos!U23)/Datos!U23,(Datos!K23+Datos!AE23-(Datos!U23+Datos!AM23))/(Datos!U23+Datos!AM23))," - ")</f>
        <v>3.7643207855973811E-2</v>
      </c>
      <c r="G23" s="400">
        <f>IF(ISNUMBER(
   IF(D_I="SI",(Datos!L23-Datos!V23)/Datos!V23,(Datos!L23+Datos!AF23-(Datos!V23+Datos!AN23))/(Datos!V23+Datos!AN23))
     ),IF(D_I="SI",(Datos!L23-Datos!V23)/Datos!V23,(Datos!L23+Datos!AF23-(Datos!V23+Datos!AN23))/(Datos!V23+Datos!AN23))," - ")</f>
        <v>-0.15555555555555556</v>
      </c>
      <c r="H23" s="401">
        <f>IF(ISNUMBER((Datos!M23-Datos!W23)/Datos!W23),(Datos!M23-Datos!W23)/Datos!W23," - ")</f>
        <v>-7.8431372549019607E-2</v>
      </c>
      <c r="I23" s="402">
        <f>IF(ISNUMBER((Tasas!C23-Datos!BE23)/Datos!BE23),(Tasas!C23-Datos!BE23)/Datos!BE23," - ")</f>
        <v>-0.18618997546442342</v>
      </c>
      <c r="J23" s="400">
        <f>IF(ISNUMBER((Tasas!D23-Datos!BF23)/Datos!BF23),(Tasas!D23-Datos!BF23)/Datos!BF23," - ")</f>
        <v>-0.1118636729139606</v>
      </c>
      <c r="K23" s="403">
        <f>IF(ISNUMBER((Tasas!E23-Datos!BG23)/Datos!BG23),(Tasas!E23-Datos!BG23)/Datos!BG23," - ")</f>
        <v>-9.7823736941930306E-2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-6.290115532734275E-2</v>
      </c>
      <c r="E31" s="409">
        <f>IF(ISNUMBER(
   IF(J_V="SI",(Datos!J31-Datos!T31)/Datos!T31,(Datos!J31+Datos!Z31-(Datos!T31+Datos!AH31))/(Datos!T31+Datos!AH31))
     ),IF(J_V="SI",(Datos!J31-Datos!T31)/Datos!T31,(Datos!J31+Datos!Z31-(Datos!T31+Datos!AH31))/(Datos!T31+Datos!AH31))," - ")</f>
        <v>0.195906432748538</v>
      </c>
      <c r="F31" s="409">
        <f>IF(ISNUMBER(
   IF(J_V="SI",(Datos!K31-Datos!U31)/Datos!U31,(Datos!K31+Datos!AA31-(Datos!U31+Datos!AI31))/(Datos!U31+Datos!AI31))
     ),IF(J_V="SI",(Datos!K31-Datos!U31)/Datos!U31,(Datos!K31+Datos!AA31-(Datos!U31+Datos!AI31))/(Datos!U31+Datos!AI31))," - ")</f>
        <v>0.12303149606299213</v>
      </c>
      <c r="G31" s="410">
        <f>IF(ISNUMBER(
   IF(J_V="SI",(Datos!L31-Datos!V31)/Datos!V31,(Datos!L31+Datos!AB31-(Datos!V31+Datos!AJ31))/(Datos!V31+Datos!AJ31))
     ),IF(J_V="SI",(Datos!L31-Datos!V31)/Datos!V31,(Datos!L31+Datos!AB31-(Datos!V31+Datos!AJ31))/(Datos!V31+Datos!AJ31))," - ")</f>
        <v>-1.8949181739879414E-2</v>
      </c>
      <c r="H31" s="411">
        <f>IF(ISNUMBER((Datos!M31-Datos!W31)/Datos!W31),(Datos!M31-Datos!W31)/Datos!W31," - ")</f>
        <v>4.6025104602510462E-2</v>
      </c>
      <c r="I31" s="408">
        <f>IF(ISNUMBER((Tasas!C31-Datos!BE31)/Datos!BE31),(Tasas!C31-Datos!BE31)/Datos!BE31," - ")</f>
        <v>-0.12642626524778039</v>
      </c>
      <c r="J31" s="409">
        <f>IF(ISNUMBER((Tasas!D31-Datos!BF31)/Datos!BF31),(Tasas!D31-Datos!BF31)/Datos!BF31," - ")</f>
        <v>-1.0614470737170102E-2</v>
      </c>
      <c r="K31" s="410">
        <f>IF(ISNUMBER((Tasas!E31-Datos!BG31)/Datos!BG31),(Tasas!E31-Datos!BG31)/Datos!BG31," - ")</f>
        <v>-9.525503474814731E-2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9.0809132793058744E-2</v>
      </c>
      <c r="E33" s="303">
        <f t="shared" si="1"/>
        <v>1.0153181598635419</v>
      </c>
      <c r="F33" s="303">
        <f t="shared" si="1"/>
        <v>0.18220591920978776</v>
      </c>
      <c r="G33" s="304">
        <f t="shared" si="1"/>
        <v>6.6539834964784023E-2</v>
      </c>
      <c r="H33" s="310">
        <f t="shared" si="1"/>
        <v>0.12526787346618154</v>
      </c>
      <c r="I33" s="302">
        <f t="shared" si="1"/>
        <v>0.11675953539864774</v>
      </c>
      <c r="J33" s="303">
        <f t="shared" si="1"/>
        <v>7.06247000979109E-2</v>
      </c>
      <c r="K33" s="304">
        <f t="shared" si="1"/>
        <v>9.1077418989069042E-2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aJQSNFTfNDW3PfGsFJKtvXEXt8GO8SqCbv5MPPfW3EF264yfmKqDG2ZKPdNhuvn6GAlg9kGxm/YffYsjS7QNQ==" saltValue="T3YtjNg/WJliSiJ7DAQ6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